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Συγκεντρωτικός Πίνακα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0"/>
    </font>
    <font>
      <b val="1"/>
      <color rgb="00FFFFFF"/>
      <sz val="9"/>
    </font>
    <font>
      <b val="1"/>
      <sz val="9"/>
    </font>
  </fonts>
  <fills count="7">
    <fill>
      <patternFill/>
    </fill>
    <fill>
      <patternFill patternType="gray125"/>
    </fill>
    <fill>
      <patternFill patternType="solid">
        <fgColor rgb="00ECECEC"/>
      </patternFill>
    </fill>
    <fill>
      <patternFill patternType="solid">
        <fgColor rgb="00DDEBF7"/>
      </patternFill>
    </fill>
    <fill>
      <patternFill patternType="solid">
        <fgColor rgb="00E2EFDA"/>
      </patternFill>
    </fill>
    <fill>
      <patternFill patternType="solid">
        <fgColor rgb="00FCE4D6"/>
      </patternFill>
    </fill>
    <fill>
      <patternFill patternType="solid">
        <fgColor rgb="00305496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2" fontId="0" fillId="0" borderId="1" applyAlignment="1" pivotButton="0" quotePrefix="0" xfId="0">
      <alignment horizontal="center" vertical="center" wrapText="1"/>
    </xf>
    <xf numFmtId="2" fontId="2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32" customWidth="1" min="7" max="7"/>
    <col width="32" customWidth="1" min="8" max="8"/>
    <col width="18" customWidth="1" min="9" max="9"/>
    <col width="18" customWidth="1" min="10" max="10"/>
    <col width="18" customWidth="1" min="11" max="11"/>
    <col width="18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</cols>
  <sheetData>
    <row r="1">
      <c r="A1" s="1" t="inlineStr">
        <is>
          <t>Στοιχεία υποψηφίου &amp; θέσης</t>
        </is>
      </c>
      <c r="M1" s="2" t="inlineStr">
        <is>
          <t>Προϋπηρεσία (Τύπου Β)</t>
        </is>
      </c>
      <c r="N1" s="3" t="inlineStr">
        <is>
          <t>Επιστημονικό Έργο</t>
        </is>
      </c>
      <c r="O1" s="4" t="inlineStr">
        <is>
          <t>Εκπαιδευτικό Έργο</t>
        </is>
      </c>
      <c r="P1" s="5" t="inlineStr">
        <is>
          <t>Σύνολο</t>
        </is>
      </c>
    </row>
    <row r="2">
      <c r="A2" s="6" t="inlineStr">
        <is>
          <t>Αριθμός Πρωτοκόλλου</t>
        </is>
      </c>
      <c r="B2" s="6" t="inlineStr">
        <is>
          <t>Barcode</t>
        </is>
      </c>
      <c r="C2" s="6" t="inlineStr">
        <is>
          <t>Ημ/νία Οριστικής Καταχώρησης</t>
        </is>
      </c>
      <c r="D2" s="6" t="inlineStr">
        <is>
          <t>Ειδικότητα</t>
        </is>
      </c>
      <c r="E2" s="6" t="inlineStr">
        <is>
          <t>Κωδικός Θέσης</t>
        </is>
      </c>
      <c r="F2" s="6" t="inlineStr">
        <is>
          <t>ΥΠΕ</t>
        </is>
      </c>
      <c r="G2" s="6" t="inlineStr">
        <is>
          <t>Φορέας</t>
        </is>
      </c>
      <c r="H2" s="6" t="inlineStr">
        <is>
          <t>Ονομασία Θέσης</t>
        </is>
      </c>
      <c r="I2" s="6" t="inlineStr">
        <is>
          <t>Αριθμός Θέσεων</t>
        </is>
      </c>
      <c r="J2" s="6" t="inlineStr">
        <is>
          <t>Εξειδίκευση/Ειδική Εμπειρία</t>
        </is>
      </c>
      <c r="K2" s="6" t="inlineStr">
        <is>
          <t>Αγροτικό</t>
        </is>
      </c>
      <c r="L2" s="6" t="inlineStr">
        <is>
          <t>Σειρά Προτίμησης</t>
        </is>
      </c>
      <c r="M2" s="7" t="inlineStr">
        <is>
          <t>Σύνολο Προϋπηρεσίας — Τύπου Β (μέγ. 500)</t>
        </is>
      </c>
      <c r="N2" s="8" t="inlineStr">
        <is>
          <t>Σύνολο Επιστημονικού (μέγ. 300)</t>
        </is>
      </c>
      <c r="O2" s="9" t="inlineStr">
        <is>
          <t>Σύνολο Εκπαιδευτικού (μέγ. 200)</t>
        </is>
      </c>
      <c r="P2" s="5" t="inlineStr">
        <is>
          <t>Σύνολο Μορίων (μέγ. 1000)</t>
        </is>
      </c>
      <c r="Q2" s="5" t="inlineStr">
        <is>
          <t>Σειρά τοποθέτησης</t>
        </is>
      </c>
    </row>
    <row r="3">
      <c r="A3" s="10" t="inlineStr">
        <is>
          <t>ΠΑΠ-20670/1</t>
        </is>
      </c>
      <c r="B3" s="10" t="inlineStr">
        <is>
          <t>56199613650</t>
        </is>
      </c>
      <c r="C3" s="10" t="inlineStr">
        <is>
          <t>21/08/2026</t>
        </is>
      </c>
      <c r="D3" s="10" t="inlineStr">
        <is>
          <t>ΧΕΙΡΟΥΡΓΙΚΗ ΠΑΙΔΩΝ</t>
        </is>
      </c>
      <c r="E3" s="10" t="inlineStr">
        <is>
          <t>11</t>
        </is>
      </c>
      <c r="F3" s="10" t="inlineStr">
        <is>
          <t>3η Υ.ΠΕ.</t>
        </is>
      </c>
      <c r="G3" s="11" t="inlineStr">
        <is>
          <t>Γ.Ν.Θ. Παπαγεωργίου</t>
        </is>
      </c>
      <c r="H3" s="11" t="inlineStr">
        <is>
          <t>Επιμελητής Β' — ΧΕΙΡΟΥΡΓΙΚΗ ΠΑΙΔΩΝ</t>
        </is>
      </c>
      <c r="I3" s="10" t="n">
        <v>1</v>
      </c>
      <c r="J3" s="10" t="inlineStr">
        <is>
          <t>ΝΑΙ</t>
        </is>
      </c>
      <c r="K3" s="10" t="inlineStr">
        <is>
          <t>ΝΑΙ</t>
        </is>
      </c>
      <c r="L3" s="10" t="n">
        <v>1</v>
      </c>
      <c r="M3" s="12">
        <f>MIN(16*3.83+10*2.75,500)</f>
        <v/>
      </c>
      <c r="N3" s="12">
        <f>MIN(10*1.5+11*0.5+12*1.25+3*0.5+6*0.1+10*0.35+5+5*3+1*5+2*2.5+1*3.5+2*0.2+1*0.5+5*3.5+5*1.5+5*2.5+15+4*2+3*1+20,200)+MIN(25+75,100)</f>
        <v/>
      </c>
      <c r="O3" s="12">
        <f>MIN(MIN(20,150)+MIN(20+30,50),200)</f>
        <v/>
      </c>
      <c r="P3" s="13">
        <f>MIN(M3+N3+O3,1000)</f>
        <v/>
      </c>
      <c r="Q3" s="10" t="n"/>
    </row>
    <row r="4">
      <c r="A4" s="10" t="inlineStr">
        <is>
          <t>ΠΑΠ-20670/10</t>
        </is>
      </c>
      <c r="B4" s="10" t="inlineStr">
        <is>
          <t>63994167347</t>
        </is>
      </c>
      <c r="C4" s="10" t="inlineStr">
        <is>
          <t>28/08/2026</t>
        </is>
      </c>
      <c r="D4" s="10" t="inlineStr">
        <is>
          <t>ΚΑΡΔΙΟΛΟΓΙΑ</t>
        </is>
      </c>
      <c r="E4" s="10" t="inlineStr">
        <is>
          <t>12</t>
        </is>
      </c>
      <c r="F4" s="10" t="inlineStr">
        <is>
          <t>3η Υ.ΠΕ.</t>
        </is>
      </c>
      <c r="G4" s="11" t="inlineStr">
        <is>
          <t>Γ.Ν.Θ. Παπαγεωργίου</t>
        </is>
      </c>
      <c r="H4" s="11" t="inlineStr">
        <is>
          <t>Επιμελητής Β' — ΑΝΑΙΣΘΗΣΙΟΛΟΓΙΑ / ΕΣΩΤΕΡΙΚΗ ΠΑΘΟΛΟΓΙΑ / ΚΑΡΔΙΟΛΟΓΙΑ / ΠΝΕΥΜΟΝΟΛΟΓΙΑ - ΦΥΜΑΤΙΟΛΟΓΙΑ / ΧΕΙΡΟΥΡΓΙΚΗ / ΟΡΘΟΠΑΙΔΙΚΗ ΚΑΙ ΤΡΑΥΜΑΤΟΛΟΓΙΑ / ΓΕΝΙΚΗ/ΟΙΚΟΓΕΝΕΙΑΚΗ ΙΑΤΡΙΚΗ</t>
        </is>
      </c>
      <c r="I4" s="10" t="n">
        <v>3</v>
      </c>
      <c r="J4" s="10" t="inlineStr">
        <is>
          <t>ΝΑΙ</t>
        </is>
      </c>
      <c r="K4" s="10" t="inlineStr">
        <is>
          <t>ΝΑΙ</t>
        </is>
      </c>
      <c r="L4" s="10" t="n">
        <v>1</v>
      </c>
      <c r="M4" s="12">
        <f>MIN(28*1.91+11*1.91+11*1.91+26*3.83+15*1.91+5,500)</f>
        <v/>
      </c>
      <c r="N4" s="12">
        <f>MIN(2*0.35,200)+MIN(0,100)</f>
        <v/>
      </c>
      <c r="O4" s="12">
        <f>MIN(MIN(5,150)+MIN(0,50),200)</f>
        <v/>
      </c>
      <c r="P4" s="13">
        <f>MIN(M4+N4+O4,1000)</f>
        <v/>
      </c>
      <c r="Q4" s="10" t="n"/>
    </row>
    <row r="5">
      <c r="A5" s="10" t="inlineStr">
        <is>
          <t>ΠΑΠ-20670/11</t>
        </is>
      </c>
      <c r="B5" s="10" t="inlineStr">
        <is>
          <t>56678244711</t>
        </is>
      </c>
      <c r="C5" s="10" t="inlineStr">
        <is>
          <t>29/08/2026</t>
        </is>
      </c>
      <c r="D5" s="10" t="inlineStr">
        <is>
          <t>ΑΚΤΙΝΟΘΕΡΑΠΕΥΤΙΚΗ ΟΓΚΟΛΟΓΙΑ</t>
        </is>
      </c>
      <c r="E5" s="10" t="inlineStr">
        <is>
          <t>2</t>
        </is>
      </c>
      <c r="F5" s="10" t="inlineStr">
        <is>
          <t>3η Υ.ΠΕ.</t>
        </is>
      </c>
      <c r="G5" s="11" t="inlineStr">
        <is>
          <t>Γ.Ν.Θ. Παπαγεωργίου</t>
        </is>
      </c>
      <c r="H5" s="11" t="inlineStr">
        <is>
          <t>Επιμελητής Β' — ΑΚΤΙΝΟΘΕΡΑΠΕΥΤΙΚΗ ΟΓΚΟΛΟΓΙΑ</t>
        </is>
      </c>
      <c r="I5" s="10" t="n">
        <v>1</v>
      </c>
      <c r="J5" s="10" t="inlineStr">
        <is>
          <t>ΟΧΙ</t>
        </is>
      </c>
      <c r="K5" s="10" t="inlineStr">
        <is>
          <t>ΝΑΙ</t>
        </is>
      </c>
      <c r="L5" s="10" t="n">
        <v>1</v>
      </c>
      <c r="M5" s="12">
        <f>MIN(24*3.83,500)</f>
        <v/>
      </c>
      <c r="N5" s="12">
        <f>MIN(4*0.35+1*2.5,200)+MIN(0,100)</f>
        <v/>
      </c>
      <c r="O5" s="12">
        <f>MIN(MIN(10,150)+MIN(0,50),200)</f>
        <v/>
      </c>
      <c r="P5" s="13">
        <f>MIN(M5+N5+O5,1000)</f>
        <v/>
      </c>
      <c r="Q5" s="10" t="n"/>
    </row>
    <row r="6">
      <c r="A6" s="10" t="inlineStr">
        <is>
          <t>ΠΑΠ-20670/12</t>
        </is>
      </c>
      <c r="B6" s="10" t="inlineStr">
        <is>
          <t>48590156244</t>
        </is>
      </c>
      <c r="C6" s="10" t="inlineStr">
        <is>
          <t>29/08/2026</t>
        </is>
      </c>
      <c r="D6" s="10" t="inlineStr">
        <is>
          <t>ΧΕΙΡΟΥΡΓΙΚΗ</t>
        </is>
      </c>
      <c r="E6" s="10" t="inlineStr">
        <is>
          <t>12</t>
        </is>
      </c>
      <c r="F6" s="10" t="inlineStr">
        <is>
          <t>3η Υ.ΠΕ.</t>
        </is>
      </c>
      <c r="G6" s="11" t="inlineStr">
        <is>
          <t>Γ.Ν.Θ. Παπαγεωργίου</t>
        </is>
      </c>
      <c r="H6" s="11" t="inlineStr">
        <is>
          <t>Επιμελητής Β' — ΑΝΑΙΣΘΗΣΙΟΛΟΓΙΑ / ΕΣΩΤΕΡΙΚΗ ΠΑΘΟΛΟΓΙΑ / ΚΑΡΔΙΟΛΟΓΙΑ / ΠΝΕΥΜΟΝΟΛΟΓΙΑ - ΦΥΜΑΤΙΟΛΟΓΙΑ / ΧΕΙΡΟΥΡΓΙΚΗ / ΟΡΘΟΠΑΙΔΙΚΗ ΚΑΙ ΤΡΑΥΜΑΤΟΛΟΓΙΑ / ΓΕΝΙΚΗ/ΟΙΚΟΓΕΝΕΙΑΚΗ ΙΑΤΡΙΚΗ</t>
        </is>
      </c>
      <c r="I6" s="10" t="n">
        <v>3</v>
      </c>
      <c r="J6" s="10" t="inlineStr">
        <is>
          <t>ΝΑΙ</t>
        </is>
      </c>
      <c r="K6" s="10" t="inlineStr">
        <is>
          <t>ΝΑΙ</t>
        </is>
      </c>
      <c r="L6" s="10" t="n">
        <v>1</v>
      </c>
      <c r="M6" s="12">
        <f>MIN(0*3.83+6*3.83,500)</f>
        <v/>
      </c>
      <c r="N6" s="12">
        <f>MIN(3*1.5+2*0.5+10*1.25+1*0.5+1*0.1+10+4*3+5*5+1*5+2*2.5+2*3.5+1*0.75+2*0.2+7*1.5+2*2.5+1*2+20,200)+MIN(0,100)</f>
        <v/>
      </c>
      <c r="O6" s="12">
        <f>MIN(MIN(10,150)+MIN(5,50),200)</f>
        <v/>
      </c>
      <c r="P6" s="13">
        <f>MIN(M6+N6+O6,1000)</f>
        <v/>
      </c>
      <c r="Q6" s="10" t="n"/>
    </row>
    <row r="7">
      <c r="A7" s="10" t="inlineStr">
        <is>
          <t>ΠΑΠ-20670/13</t>
        </is>
      </c>
      <c r="B7" s="10" t="inlineStr">
        <is>
          <t>32801503493</t>
        </is>
      </c>
      <c r="C7" s="10" t="inlineStr">
        <is>
          <t>31/08/2026</t>
        </is>
      </c>
      <c r="D7" s="10" t="inlineStr">
        <is>
          <t>ΑΙΜΑΤΟΛΟΓΙΑ</t>
        </is>
      </c>
      <c r="E7" s="10" t="inlineStr">
        <is>
          <t>1</t>
        </is>
      </c>
      <c r="F7" s="10" t="inlineStr">
        <is>
          <t>3η Υ.ΠΕ.</t>
        </is>
      </c>
      <c r="G7" s="11" t="inlineStr">
        <is>
          <t>Γ.Ν.Θ. Παπαγεωργίου</t>
        </is>
      </c>
      <c r="H7" s="11" t="inlineStr">
        <is>
          <t>Επιμελητής Β' — ΑΙΜΑΤΟΛΟΓΙΑ</t>
        </is>
      </c>
      <c r="I7" s="10" t="n">
        <v>1</v>
      </c>
      <c r="J7" s="10" t="inlineStr">
        <is>
          <t>ΟΧΙ</t>
        </is>
      </c>
      <c r="K7" s="10" t="inlineStr">
        <is>
          <t>ΝΑΙ</t>
        </is>
      </c>
      <c r="L7" s="10" t="n">
        <v>1</v>
      </c>
      <c r="M7" s="12">
        <f>MIN(19*3.83+5,500)</f>
        <v/>
      </c>
      <c r="N7" s="12">
        <f>MIN(8*0.5+1*0.5+2*0.1+4*3+1*2.5+3*3.5+1*0.75+1*1.5+3*2.5+25+8*1,200)+MIN(25,100)</f>
        <v/>
      </c>
      <c r="O7" s="12">
        <f>MIN(MIN(10,150)+MIN(0,50),200)</f>
        <v/>
      </c>
      <c r="P7" s="13">
        <f>MIN(M7+N7+O7,1000)</f>
        <v/>
      </c>
      <c r="Q7" s="10" t="n"/>
    </row>
    <row r="8">
      <c r="A8" s="10" t="inlineStr">
        <is>
          <t>ΠΑΠ-20670/14</t>
        </is>
      </c>
      <c r="B8" s="10" t="inlineStr">
        <is>
          <t>87908619202</t>
        </is>
      </c>
      <c r="C8" s="10" t="inlineStr">
        <is>
          <t>31/08/2026</t>
        </is>
      </c>
      <c r="D8" s="10" t="inlineStr">
        <is>
          <t>ΑΝΑΙΣΘΗΣΙΟΛΟΓΙΑ</t>
        </is>
      </c>
      <c r="E8" s="10" t="inlineStr">
        <is>
          <t>3</t>
        </is>
      </c>
      <c r="F8" s="10" t="inlineStr">
        <is>
          <t>3η Υ.ΠΕ.</t>
        </is>
      </c>
      <c r="G8" s="11" t="inlineStr">
        <is>
          <t>Γ.Ν.Θ. Παπαγεωργίου</t>
        </is>
      </c>
      <c r="H8" s="11" t="inlineStr">
        <is>
          <t>Επιμελητής Β' — ΑΝΑΙΣΘΗΣΙΟΛΟΓΙΑ</t>
        </is>
      </c>
      <c r="I8" s="10" t="n">
        <v>3</v>
      </c>
      <c r="J8" s="10" t="inlineStr">
        <is>
          <t>ΟΧΙ</t>
        </is>
      </c>
      <c r="K8" s="10" t="inlineStr">
        <is>
          <t>ΝΑΙ</t>
        </is>
      </c>
      <c r="L8" s="10" t="n">
        <v>1</v>
      </c>
      <c r="M8" s="12">
        <f>MIN(11*3.83+5*2.75,500)</f>
        <v/>
      </c>
      <c r="N8" s="12">
        <f>MIN(2*1.5+2*0.5+7*0.5+1*0.1+6*0.35+2*3+2*2.5+1*0.75+2*1,200)+MIN(25,100)</f>
        <v/>
      </c>
      <c r="O8" s="12">
        <f>MIN(MIN(10,150)+MIN(5,50),200)</f>
        <v/>
      </c>
      <c r="P8" s="13">
        <f>MIN(M8+N8+O8,1000)</f>
        <v/>
      </c>
      <c r="Q8" s="10" t="n"/>
    </row>
    <row r="9">
      <c r="A9" s="10" t="inlineStr">
        <is>
          <t>ΠΑΠ-20670/15</t>
        </is>
      </c>
      <c r="B9" s="10" t="inlineStr">
        <is>
          <t>97599534993</t>
        </is>
      </c>
      <c r="C9" s="10" t="inlineStr">
        <is>
          <t>31/08/2026</t>
        </is>
      </c>
      <c r="D9" s="10" t="inlineStr">
        <is>
          <t>ΕΣΩΤΕΡΙΚΗ ΠΑΘΟΛΟΓΙΑ</t>
        </is>
      </c>
      <c r="E9" s="10" t="inlineStr">
        <is>
          <t>12</t>
        </is>
      </c>
      <c r="F9" s="10" t="inlineStr">
        <is>
          <t>3η Υ.ΠΕ.</t>
        </is>
      </c>
      <c r="G9" s="11" t="inlineStr">
        <is>
          <t>Γ.Ν.Θ. Παπαγεωργίου</t>
        </is>
      </c>
      <c r="H9" s="11" t="inlineStr">
        <is>
          <t>Επιμελητής Β' — ΑΝΑΙΣΘΗΣΙΟΛΟΓΙΑ / ΕΣΩΤΕΡΙΚΗ ΠΑΘΟΛΟΓΙΑ / ΚΑΡΔΙΟΛΟΓΙΑ / ΠΝΕΥΜΟΝΟΛΟΓΙΑ - ΦΥΜΑΤΙΟΛΟΓΙΑ / ΧΕΙΡΟΥΡΓΙΚΗ / ΟΡΘΟΠΑΙΔΙΚΗ ΚΑΙ ΤΡΑΥΜΑΤΟΛΟΓΙΑ / ΓΕΝΙΚΗ/ΟΙΚΟΓΕΝΕΙΑΚΗ ΙΑΤΡΙΚΗ</t>
        </is>
      </c>
      <c r="I9" s="10" t="n">
        <v>3</v>
      </c>
      <c r="J9" s="10" t="inlineStr">
        <is>
          <t>ΝΑΙ</t>
        </is>
      </c>
      <c r="K9" s="10" t="inlineStr">
        <is>
          <t>ΝΑΙ</t>
        </is>
      </c>
      <c r="L9" s="10" t="n">
        <v>1</v>
      </c>
      <c r="M9" s="12">
        <f>MIN(40*3.83+25+100,500)</f>
        <v/>
      </c>
      <c r="N9" s="12">
        <f>MIN(0,200)+MIN(25,100)</f>
        <v/>
      </c>
      <c r="O9" s="12">
        <f>MIN(MIN(10+100,150)+MIN(0,50),200)</f>
        <v/>
      </c>
      <c r="P9" s="13">
        <f>MIN(M9+N9+O9,1000)</f>
        <v/>
      </c>
      <c r="Q9" s="10" t="n"/>
    </row>
    <row r="10">
      <c r="A10" s="10" t="inlineStr">
        <is>
          <t>ΠΑΠ-20670/16</t>
        </is>
      </c>
      <c r="B10" s="10" t="inlineStr">
        <is>
          <t>60299922507</t>
        </is>
      </c>
      <c r="C10" s="10" t="inlineStr">
        <is>
          <t>01/09/2026</t>
        </is>
      </c>
      <c r="D10" s="10" t="inlineStr">
        <is>
          <t>ΟΡΘΟΠΑΙΔΙΚΗ ΚΑΙ ΤΡΑΥΜΑΤΟΛΟΓΙΑ</t>
        </is>
      </c>
      <c r="E10" s="10" t="inlineStr">
        <is>
          <t>12</t>
        </is>
      </c>
      <c r="F10" s="10" t="inlineStr">
        <is>
          <t>3η Υ.ΠΕ.</t>
        </is>
      </c>
      <c r="G10" s="11" t="inlineStr">
        <is>
          <t>Γ.Ν.Θ. Παπαγεωργίου</t>
        </is>
      </c>
      <c r="H10" s="11" t="inlineStr">
        <is>
          <t>Επιμελητής Β' — ΑΝΑΙΣΘΗΣΙΟΛΟΓΙΑ / ΕΣΩΤΕΡΙΚΗ ΠΑΘΟΛΟΓΙΑ / ΚΑΡΔΙΟΛΟΓΙΑ / ΠΝΕΥΜΟΝΟΛΟΓΙΑ - ΦΥΜΑΤΙΟΛΟΓΙΑ / ΧΕΙΡΟΥΡΓΙΚΗ / ΟΡΘΟΠΑΙΔΙΚΗ ΚΑΙ ΤΡΑΥΜΑΤΟΛΟΓΙΑ / ΓΕΝΙΚΗ/ΟΙΚΟΓΕΝΕΙΑΚΗ ΙΑΤΡΙΚΗ</t>
        </is>
      </c>
      <c r="I10" s="10" t="n">
        <v>3</v>
      </c>
      <c r="J10" s="10" t="inlineStr">
        <is>
          <t>ΝΑΙ</t>
        </is>
      </c>
      <c r="K10" s="10" t="inlineStr">
        <is>
          <t>ΝΑΙ</t>
        </is>
      </c>
      <c r="L10" s="10" t="n">
        <v>1</v>
      </c>
      <c r="M10" s="12">
        <f>MIN(10*1.91+15*1.91*2,500)</f>
        <v/>
      </c>
      <c r="N10" s="12">
        <f>MIN(3*0.5+5*0.1+1*0.35+2*1,200)+MIN(25,100)</f>
        <v/>
      </c>
      <c r="O10" s="12">
        <f>MIN(MIN(20,150)+MIN(0,50),200)</f>
        <v/>
      </c>
      <c r="P10" s="13">
        <f>MIN(M10+N10+O10,1000)</f>
        <v/>
      </c>
      <c r="Q10" s="10" t="n"/>
    </row>
    <row r="11">
      <c r="A11" s="10" t="inlineStr">
        <is>
          <t>ΠΑΠ-20670/17</t>
        </is>
      </c>
      <c r="B11" s="10" t="inlineStr">
        <is>
          <t>12467312527</t>
        </is>
      </c>
      <c r="C11" s="10" t="inlineStr">
        <is>
          <t>01/09/2026</t>
        </is>
      </c>
      <c r="D11" s="10" t="inlineStr">
        <is>
          <t>ΕΣΩΤΕΡΙΚΗ ΠΑΘΟΛΟΓΙΑ</t>
        </is>
      </c>
      <c r="E11" s="10" t="inlineStr">
        <is>
          <t>4</t>
        </is>
      </c>
      <c r="F11" s="10" t="inlineStr">
        <is>
          <t>3η Υ.ΠΕ.</t>
        </is>
      </c>
      <c r="G11" s="11" t="inlineStr">
        <is>
          <t>Γ.Ν.Θ. Παπαγεωργίου</t>
        </is>
      </c>
      <c r="H11" s="11" t="inlineStr">
        <is>
          <t>Επιμελητής Β' — ΑΝΑΙΣΘΗΣΙΟΛΟΓΙΑ / ΠΝΕΥΜΟΝΟΛΟΓΙΑ - ΦΥΜΑΤΙΟΛΟΓΙΑ / ΕΣΩΤΕΡΙΚΗ ΠΑΘΟΛΟΓΙΑ / ΚΑΡΔΙΟΛΟΓΙΑ / ΧΕΙΡΟΥΡΓΙΚΗ / ΝΕΦΡΟΛΟΓΙΑ / ΝΕΥΡΟΧΕΙΡΟΥΡΓΙΚΗ / ΧΕΙΡΟΥΡΓΙΚΗ ΘΩΡΑΚΟΣ / ΝΕΥΡΟΛΟΓΙΑ</t>
        </is>
      </c>
      <c r="I11" s="10" t="n">
        <v>1</v>
      </c>
      <c r="J11" s="10" t="inlineStr">
        <is>
          <t>ΝΑΙ</t>
        </is>
      </c>
      <c r="K11" s="10" t="inlineStr">
        <is>
          <t>ΝΑΙ</t>
        </is>
      </c>
      <c r="L11" s="10" t="n">
        <v>1</v>
      </c>
      <c r="M11" s="12">
        <f>MIN(9*0.5+7*0.5+26*3.83+5+25+100,500)</f>
        <v/>
      </c>
      <c r="N11" s="12">
        <f>MIN(1*1.25+1*0.5+2*0.1+1*0.35+5+1*3+2*2.5+3*1.5+5*1,200)+MIN(25,100)</f>
        <v/>
      </c>
      <c r="O11" s="12">
        <f>MIN(MIN(20,150)+MIN(5,50),200)</f>
        <v/>
      </c>
      <c r="P11" s="13">
        <f>MIN(M11+N11+O11,1000)</f>
        <v/>
      </c>
      <c r="Q11" s="10" t="n"/>
    </row>
    <row r="12">
      <c r="A12" s="10" t="inlineStr">
        <is>
          <t>ΠΑΠ-20670/18</t>
        </is>
      </c>
      <c r="B12" s="10" t="inlineStr">
        <is>
          <t>12113212458</t>
        </is>
      </c>
      <c r="C12" s="10" t="inlineStr">
        <is>
          <t>01/09/2026</t>
        </is>
      </c>
      <c r="D12" s="10" t="inlineStr">
        <is>
          <t>ΚΑΡΔΙΟΛΟΓΙΑ</t>
        </is>
      </c>
      <c r="E12" s="10" t="inlineStr">
        <is>
          <t>12</t>
        </is>
      </c>
      <c r="F12" s="10" t="inlineStr">
        <is>
          <t>3η Υ.ΠΕ.</t>
        </is>
      </c>
      <c r="G12" s="11" t="inlineStr">
        <is>
          <t>Γ.Ν.Θ. Παπαγεωργίου</t>
        </is>
      </c>
      <c r="H12" s="11" t="inlineStr">
        <is>
          <t>Επιμελητής Β' — ΑΝΑΙΣΘΗΣΙΟΛΟΓΙΑ / ΕΣΩΤΕΡΙΚΗ ΠΑΘΟΛΟΓΙΑ / ΚΑΡΔΙΟΛΟΓΙΑ / ΠΝΕΥΜΟΝΟΛΟΓΙΑ - ΦΥΜΑΤΙΟΛΟΓΙΑ / ΧΕΙΡΟΥΡΓΙΚΗ / ΟΡΘΟΠΑΙΔΙΚΗ ΚΑΙ ΤΡΑΥΜΑΤΟΛΟΓΙΑ / ΓΕΝΙΚΗ/ΟΙΚΟΓΕΝΕΙΑΚΗ ΙΑΤΡΙΚΗ</t>
        </is>
      </c>
      <c r="I12" s="10" t="n">
        <v>3</v>
      </c>
      <c r="J12" s="10" t="inlineStr">
        <is>
          <t>ΝΑΙ</t>
        </is>
      </c>
      <c r="K12" s="10" t="inlineStr">
        <is>
          <t>ΝΑΙ</t>
        </is>
      </c>
      <c r="L12" s="10" t="n">
        <v>1</v>
      </c>
      <c r="M12" s="12">
        <f>MIN(47*2.5+1*0.5+98*0.5+15*0.5+11*3.83+33*3.83+2*2.75+25,500)</f>
        <v/>
      </c>
      <c r="N12" s="12">
        <f>MIN(5*0.5+3*0.1+2*0.35+5*3+2*2.5+1*3.5+7*1.5+1*2.5+25+9*1+20,200)+MIN(25+75,100)</f>
        <v/>
      </c>
      <c r="O12" s="12">
        <f>MIN(MIN(30+120,150)+MIN(20+30,50),200)</f>
        <v/>
      </c>
      <c r="P12" s="13">
        <f>MIN(M12+N12+O12,1000)</f>
        <v/>
      </c>
      <c r="Q12" s="10" t="n"/>
    </row>
    <row r="13">
      <c r="A13" s="10" t="inlineStr">
        <is>
          <t>ΠΑΠ-20670/19</t>
        </is>
      </c>
      <c r="B13" s="10" t="inlineStr">
        <is>
          <t>43995499265</t>
        </is>
      </c>
      <c r="C13" s="10" t="inlineStr">
        <is>
          <t>02/09/2026</t>
        </is>
      </c>
      <c r="D13" s="10" t="inlineStr">
        <is>
          <t>ΟΡΘΟΠΑΙΔΙΚΗ ΚΑΙ ΤΡΑΥΜΑΤΟΛΟΓΙΑ</t>
        </is>
      </c>
      <c r="E13" s="10" t="inlineStr">
        <is>
          <t>12</t>
        </is>
      </c>
      <c r="F13" s="10" t="inlineStr">
        <is>
          <t>3η Υ.ΠΕ.</t>
        </is>
      </c>
      <c r="G13" s="11" t="inlineStr">
        <is>
          <t>Γ.Ν.Θ. Παπαγεωργίου</t>
        </is>
      </c>
      <c r="H13" s="11" t="inlineStr">
        <is>
          <t>Επιμελητής Β' — ΑΝΑΙΣΘΗΣΙΟΛΟΓΙΑ / ΕΣΩΤΕΡΙΚΗ ΠΑΘΟΛΟΓΙΑ / ΚΑΡΔΙΟΛΟΓΙΑ / ΠΝΕΥΜΟΝΟΛΟΓΙΑ - ΦΥΜΑΤΙΟΛΟΓΙΑ / ΧΕΙΡΟΥΡΓΙΚΗ / ΟΡΘΟΠΑΙΔΙΚΗ ΚΑΙ ΤΡΑΥΜΑΤΟΛΟΓΙΑ / ΓΕΝΙΚΗ/ΟΙΚΟΓΕΝΕΙΑΚΗ ΙΑΤΡΙΚΗ</t>
        </is>
      </c>
      <c r="I13" s="10" t="n">
        <v>3</v>
      </c>
      <c r="J13" s="10" t="inlineStr">
        <is>
          <t>ΝΑΙ</t>
        </is>
      </c>
      <c r="K13" s="10" t="inlineStr">
        <is>
          <t>ΝΑΙ</t>
        </is>
      </c>
      <c r="L13" s="10" t="n">
        <v>1</v>
      </c>
      <c r="M13" s="12">
        <f>MIN(10*1.91+30*3.83+100,500)</f>
        <v/>
      </c>
      <c r="N13" s="12">
        <f>MIN(9*0.1+8*0.35+1*2.5+1*1,200)+MIN(25,100)</f>
        <v/>
      </c>
      <c r="O13" s="12">
        <f>MIN(MIN(20+100,150)+MIN(30,50),200)</f>
        <v/>
      </c>
      <c r="P13" s="13">
        <f>MIN(M13+N13+O13,1000)</f>
        <v/>
      </c>
      <c r="Q13" s="10" t="n"/>
    </row>
    <row r="14">
      <c r="A14" s="10" t="inlineStr">
        <is>
          <t>ΠΑΠ-20670/2</t>
        </is>
      </c>
      <c r="B14" s="10" t="inlineStr">
        <is>
          <t>83405718927</t>
        </is>
      </c>
      <c r="C14" s="10" t="inlineStr">
        <is>
          <t>23/08/2026</t>
        </is>
      </c>
      <c r="D14" s="10" t="inlineStr">
        <is>
          <t>ΑΚΤΙΝΟΘΕΡΑΠΕΥΤΙΚΗ ΟΓΚΟΛΟΓΙΑ</t>
        </is>
      </c>
      <c r="E14" s="10" t="inlineStr">
        <is>
          <t>2</t>
        </is>
      </c>
      <c r="F14" s="10" t="inlineStr">
        <is>
          <t>3η Υ.ΠΕ.</t>
        </is>
      </c>
      <c r="G14" s="11" t="inlineStr">
        <is>
          <t>Γ.Ν.Θ. Παπαγεωργίου</t>
        </is>
      </c>
      <c r="H14" s="11" t="inlineStr">
        <is>
          <t>Επιμελητής Β' — ΑΚΤΙΝΟΘΕΡΑΠΕΥΤΙΚΗ ΟΓΚΟΛΟΓΙΑ</t>
        </is>
      </c>
      <c r="I14" s="10" t="n">
        <v>1</v>
      </c>
      <c r="J14" s="10" t="inlineStr">
        <is>
          <t>ΟΧΙ</t>
        </is>
      </c>
      <c r="K14" s="10" t="inlineStr">
        <is>
          <t>ΝΑΙ</t>
        </is>
      </c>
      <c r="L14" s="10" t="n">
        <v>1</v>
      </c>
      <c r="M14" s="12">
        <f>MIN(0,500)</f>
        <v/>
      </c>
      <c r="N14" s="12">
        <f>MIN(1*0.5+1*2+3*1+20,200)+MIN(0,100)</f>
        <v/>
      </c>
      <c r="O14" s="12">
        <f>MIN(MIN(0,150)+MIN(0,50),200)</f>
        <v/>
      </c>
      <c r="P14" s="13">
        <f>MIN(M14+N14+O14,1000)</f>
        <v/>
      </c>
      <c r="Q14" s="10" t="n"/>
    </row>
    <row r="15">
      <c r="A15" s="10" t="inlineStr">
        <is>
          <t>ΠΑΠ-20670/20</t>
        </is>
      </c>
      <c r="B15" s="10" t="inlineStr">
        <is>
          <t>02021783457</t>
        </is>
      </c>
      <c r="C15" s="10" t="inlineStr">
        <is>
          <t>02/09/2026</t>
        </is>
      </c>
      <c r="D15" s="10" t="inlineStr">
        <is>
          <t>ΟΡΘΟΠΑΙΔΙΚΗ ΚΑΙ ΤΡΑΥΜΑΤΟΛΟΓΙΑ</t>
        </is>
      </c>
      <c r="E15" s="10" t="inlineStr">
        <is>
          <t>6</t>
        </is>
      </c>
      <c r="F15" s="10" t="inlineStr">
        <is>
          <t>3η Υ.ΠΕ.</t>
        </is>
      </c>
      <c r="G15" s="11" t="inlineStr">
        <is>
          <t>Γ.Ν.Θ. Παπαγεωργίου</t>
        </is>
      </c>
      <c r="H15" s="11" t="inlineStr">
        <is>
          <t>Επιμελητής Β' — ΟΡΘΟΠΑΙΔΙΚΗ ΚΑΙ ΤΡΑΥΜΑΤΟΛΟΓΙΑ</t>
        </is>
      </c>
      <c r="I15" s="10" t="n">
        <v>1</v>
      </c>
      <c r="J15" s="10" t="inlineStr">
        <is>
          <t>ΝΑΙ</t>
        </is>
      </c>
      <c r="K15" s="10" t="inlineStr">
        <is>
          <t>ΝΑΙ</t>
        </is>
      </c>
      <c r="L15" s="10" t="n">
        <v>1</v>
      </c>
      <c r="M15" s="12">
        <f>MIN(11*0.5+96*0.5+3*1.91+5+29*1.91,500)</f>
        <v/>
      </c>
      <c r="N15" s="12">
        <f>MIN(6*0.5+2*1.25+2*0.35+3*0.2+15+4*2+8*1,200)+MIN(25,100)</f>
        <v/>
      </c>
      <c r="O15" s="12">
        <f>MIN(MIN(30+35,150)+MIN(20+5,50),200)</f>
        <v/>
      </c>
      <c r="P15" s="13">
        <f>MIN(M15+N15+O15,1000)</f>
        <v/>
      </c>
      <c r="Q15" s="10" t="n"/>
    </row>
    <row r="16">
      <c r="A16" s="10" t="inlineStr">
        <is>
          <t>ΠΑΠ-20670/20</t>
        </is>
      </c>
      <c r="B16" s="10" t="inlineStr">
        <is>
          <t>02021783457</t>
        </is>
      </c>
      <c r="C16" s="10" t="inlineStr">
        <is>
          <t>02/09/2026</t>
        </is>
      </c>
      <c r="D16" s="10" t="inlineStr">
        <is>
          <t>ΟΡΘΟΠΑΙΔΙΚΗ ΚΑΙ ΤΡΑΥΜΑΤΟΛΟΓΙΑ</t>
        </is>
      </c>
      <c r="E16" s="10" t="inlineStr">
        <is>
          <t>12</t>
        </is>
      </c>
      <c r="F16" s="10" t="inlineStr">
        <is>
          <t>3η Υ.ΠΕ.</t>
        </is>
      </c>
      <c r="G16" s="11" t="inlineStr">
        <is>
          <t>Γ.Ν.Θ. Παπαγεωργίου</t>
        </is>
      </c>
      <c r="H16" s="11" t="inlineStr">
        <is>
          <t>Επιμελητής Β' — ΑΝΑΙΣΘΗΣΙΟΛΟΓΙΑ / ΕΣΩΤΕΡΙΚΗ ΠΑΘΟΛΟΓΙΑ / ΚΑΡΔΙΟΛΟΓΙΑ / ΠΝΕΥΜΟΝΟΛΟΓΙΑ - ΦΥΜΑΤΙΟΛΟΓΙΑ / ΧΕΙΡΟΥΡΓΙΚΗ / ΟΡΘΟΠΑΙΔΙΚΗ ΚΑΙ ΤΡΑΥΜΑΤΟΛΟΓΙΑ / ΓΕΝΙΚΗ/ΟΙΚΟΓΕΝΕΙΑΚΗ ΙΑΤΡΙΚΗ</t>
        </is>
      </c>
      <c r="I16" s="10" t="n">
        <v>3</v>
      </c>
      <c r="J16" s="10" t="inlineStr">
        <is>
          <t>ΝΑΙ</t>
        </is>
      </c>
      <c r="K16" s="10" t="inlineStr">
        <is>
          <t>ΝΑΙ</t>
        </is>
      </c>
      <c r="L16" s="10" t="n">
        <v>2</v>
      </c>
      <c r="M16" s="12">
        <f>MIN(11*0.5+96*0.5+3*1.91+5+29*1.91,500)</f>
        <v/>
      </c>
      <c r="N16" s="12">
        <f>MIN(6*0.5+2*1.25+2*0.35+3*0.2+15+4*2+8*1,200)+MIN(25,100)</f>
        <v/>
      </c>
      <c r="O16" s="12">
        <f>MIN(MIN(30+35,150)+MIN(20+5,50),200)</f>
        <v/>
      </c>
      <c r="P16" s="13">
        <f>MIN(M16+N16+O16,1000)</f>
        <v/>
      </c>
      <c r="Q16" s="10" t="n"/>
    </row>
    <row r="17">
      <c r="A17" s="10" t="inlineStr">
        <is>
          <t>ΠΑΠ-20670/21</t>
        </is>
      </c>
      <c r="B17" s="10" t="inlineStr">
        <is>
          <t>20497919770</t>
        </is>
      </c>
      <c r="C17" s="10" t="inlineStr">
        <is>
          <t>02/09/2026</t>
        </is>
      </c>
      <c r="D17" s="10" t="inlineStr">
        <is>
          <t>ΕΣΩΤΕΡΙΚΗ ΠΑΘΟΛΟΓΙΑ</t>
        </is>
      </c>
      <c r="E17" s="10" t="inlineStr">
        <is>
          <t>4</t>
        </is>
      </c>
      <c r="F17" s="10" t="inlineStr">
        <is>
          <t>3η Υ.ΠΕ.</t>
        </is>
      </c>
      <c r="G17" s="11" t="inlineStr">
        <is>
          <t>Γ.Ν.Θ. Παπαγεωργίου</t>
        </is>
      </c>
      <c r="H17" s="11" t="inlineStr">
        <is>
          <t>Επιμελητής Β' — ΑΝΑΙΣΘΗΣΙΟΛΟΓΙΑ / ΠΝΕΥΜΟΝΟΛΟΓΙΑ - ΦΥΜΑΤΙΟΛΟΓΙΑ / ΕΣΩΤΕΡΙΚΗ ΠΑΘΟΛΟΓΙΑ / ΚΑΡΔΙΟΛΟΓΙΑ / ΧΕΙΡΟΥΡΓΙΚΗ / ΝΕΦΡΟΛΟΓΙΑ / ΝΕΥΡΟΧΕΙΡΟΥΡΓΙΚΗ / ΧΕΙΡΟΥΡΓΙΚΗ ΘΩΡΑΚΟΣ / ΝΕΥΡΟΛΟΓΙΑ</t>
        </is>
      </c>
      <c r="I17" s="10" t="n">
        <v>1</v>
      </c>
      <c r="J17" s="10" t="inlineStr">
        <is>
          <t>ΝΑΙ</t>
        </is>
      </c>
      <c r="K17" s="10" t="inlineStr">
        <is>
          <t>ΝΑΙ</t>
        </is>
      </c>
      <c r="L17" s="10" t="n">
        <v>1</v>
      </c>
      <c r="M17" s="12">
        <f>MIN(4*1.91+25*3.83+5,500)</f>
        <v/>
      </c>
      <c r="N17" s="12">
        <f>MIN(2*0.1+1*0.35+2*3+1*5+2*2.5+1*3.5+1*1.5+15+1*1,200)+MIN(0,100)</f>
        <v/>
      </c>
      <c r="O17" s="12">
        <f>MIN(MIN(30,150)+MIN(0,50),200)</f>
        <v/>
      </c>
      <c r="P17" s="13">
        <f>MIN(M17+N17+O17,1000)</f>
        <v/>
      </c>
      <c r="Q17" s="10" t="n"/>
    </row>
    <row r="18">
      <c r="A18" s="10" t="inlineStr">
        <is>
          <t>ΠΑΠ-20670/22</t>
        </is>
      </c>
      <c r="B18" s="10" t="inlineStr">
        <is>
          <t>87600915132</t>
        </is>
      </c>
      <c r="C18" s="10" t="inlineStr">
        <is>
          <t>02/09/2026</t>
        </is>
      </c>
      <c r="D18" s="10" t="inlineStr">
        <is>
          <t>ΠΝΕΥΜΟΝΟΛΟΓΙΑ - ΦΥΜΑΤΙΟΛΟΓΙΑ</t>
        </is>
      </c>
      <c r="E18" s="10" t="inlineStr">
        <is>
          <t>8</t>
        </is>
      </c>
      <c r="F18" s="10" t="inlineStr">
        <is>
          <t>3η Υ.ΠΕ.</t>
        </is>
      </c>
      <c r="G18" s="11" t="inlineStr">
        <is>
          <t>Γ.Ν.Θ. Παπαγεωργίου</t>
        </is>
      </c>
      <c r="H18" s="11" t="inlineStr">
        <is>
          <t>Επιμελητής Β' — ΠΝΕΥΜΟΝΟΛΟΓΙΑ - ΦΥΜΑΤΙΟΛΟΓΙΑ</t>
        </is>
      </c>
      <c r="I18" s="10" t="n">
        <v>1</v>
      </c>
      <c r="J18" s="10" t="inlineStr">
        <is>
          <t>ΟΧΙ</t>
        </is>
      </c>
      <c r="K18" s="10" t="inlineStr">
        <is>
          <t>ΝΑΙ</t>
        </is>
      </c>
      <c r="L18" s="10" t="n">
        <v>1</v>
      </c>
      <c r="M18" s="12">
        <f>MIN(3*3.83+18*3.83+25,500)</f>
        <v/>
      </c>
      <c r="N18" s="12">
        <f>MIN(5+2*0.2+1*1,200)+MIN(0,100)</f>
        <v/>
      </c>
      <c r="O18" s="12">
        <f>MIN(MIN(10,150)+MIN(0,50),200)</f>
        <v/>
      </c>
      <c r="P18" s="13">
        <f>MIN(M18+N18+O18,1000)</f>
        <v/>
      </c>
      <c r="Q18" s="10" t="n"/>
    </row>
    <row r="19">
      <c r="A19" s="10" t="inlineStr">
        <is>
          <t>ΠΑΠ-20670/23</t>
        </is>
      </c>
      <c r="B19" s="10" t="inlineStr">
        <is>
          <t>47493965599</t>
        </is>
      </c>
      <c r="C19" s="10" t="inlineStr">
        <is>
          <t>02/09/2026</t>
        </is>
      </c>
      <c r="D19" s="10" t="inlineStr">
        <is>
          <t>ΧΕΙΡΟΥΡΓΙΚΗ</t>
        </is>
      </c>
      <c r="E19" s="10" t="inlineStr">
        <is>
          <t>12</t>
        </is>
      </c>
      <c r="F19" s="10" t="inlineStr">
        <is>
          <t>3η Υ.ΠΕ.</t>
        </is>
      </c>
      <c r="G19" s="11" t="inlineStr">
        <is>
          <t>Γ.Ν.Θ. Παπαγεωργίου</t>
        </is>
      </c>
      <c r="H19" s="11" t="inlineStr">
        <is>
          <t>Επιμελητής Β' — ΑΝΑΙΣΘΗΣΙΟΛΟΓΙΑ / ΕΣΩΤΕΡΙΚΗ ΠΑΘΟΛΟΓΙΑ / ΚΑΡΔΙΟΛΟΓΙΑ / ΠΝΕΥΜΟΝΟΛΟΓΙΑ - ΦΥΜΑΤΙΟΛΟΓΙΑ / ΧΕΙΡΟΥΡΓΙΚΗ / ΟΡΘΟΠΑΙΔΙΚΗ ΚΑΙ ΤΡΑΥΜΑΤΟΛΟΓΙΑ / ΓΕΝΙΚΗ/ΟΙΚΟΓΕΝΕΙΑΚΗ ΙΑΤΡΙΚΗ</t>
        </is>
      </c>
      <c r="I19" s="10" t="n">
        <v>3</v>
      </c>
      <c r="J19" s="10" t="inlineStr">
        <is>
          <t>ΝΑΙ</t>
        </is>
      </c>
      <c r="K19" s="10" t="inlineStr">
        <is>
          <t>ΝΑΙ</t>
        </is>
      </c>
      <c r="L19" s="10" t="n">
        <v>1</v>
      </c>
      <c r="M19" s="12">
        <f>MIN(10*1.91,500)</f>
        <v/>
      </c>
      <c r="N19" s="12">
        <f>MIN(3*1.5+4*1.25+6*0.1+4*0.35+12*3+2*2.5+2*1.5+1*1+20,200)+MIN(0,100)</f>
        <v/>
      </c>
      <c r="O19" s="12">
        <f>MIN(MIN(10,150)+MIN(0,50),200)</f>
        <v/>
      </c>
      <c r="P19" s="13">
        <f>MIN(M19+N19+O19,1000)</f>
        <v/>
      </c>
      <c r="Q19" s="10" t="n"/>
    </row>
    <row r="20">
      <c r="A20" s="10" t="inlineStr">
        <is>
          <t>ΠΑΠ-20670/24</t>
        </is>
      </c>
      <c r="B20" s="10" t="inlineStr">
        <is>
          <t>16053484004</t>
        </is>
      </c>
      <c r="C20" s="10" t="inlineStr">
        <is>
          <t>02/09/2026</t>
        </is>
      </c>
      <c r="D20" s="10" t="inlineStr">
        <is>
          <t>ΧΕΙΡΟΥΡΓΙΚΗ</t>
        </is>
      </c>
      <c r="E20" s="10" t="inlineStr">
        <is>
          <t>9</t>
        </is>
      </c>
      <c r="F20" s="10" t="inlineStr">
        <is>
          <t>3η Υ.ΠΕ.</t>
        </is>
      </c>
      <c r="G20" s="11" t="inlineStr">
        <is>
          <t>Γ.Ν.Θ. Παπαγεωργίου</t>
        </is>
      </c>
      <c r="H20" s="11" t="inlineStr">
        <is>
          <t>Επιμελητής Β' — ΧΕΙΡΟΥΡΓΙΚΗ</t>
        </is>
      </c>
      <c r="I20" s="10" t="n">
        <v>1</v>
      </c>
      <c r="J20" s="10" t="inlineStr">
        <is>
          <t>ΝΑΙ</t>
        </is>
      </c>
      <c r="K20" s="10" t="inlineStr">
        <is>
          <t>ΝΑΙ</t>
        </is>
      </c>
      <c r="L20" s="10" t="n">
        <v>1</v>
      </c>
      <c r="M20" s="12">
        <f>MIN(2*1.91+5*1.91+2*1.91,500)</f>
        <v/>
      </c>
      <c r="N20" s="12">
        <f>MIN(2*1.5+1*0.5+3*1.25+8*0.5+2*0.1+10*0.35+1*3+1*5+1*3.5+1*2.5+15+1*2+4*1,200)+MIN(25,100)</f>
        <v/>
      </c>
      <c r="O20" s="12">
        <f>MIN(MIN(30,150)+MIN(10+5,50),200)</f>
        <v/>
      </c>
      <c r="P20" s="13">
        <f>MIN(M20+N20+O20,1000)</f>
        <v/>
      </c>
      <c r="Q20" s="10" t="n"/>
    </row>
    <row r="21">
      <c r="A21" s="10" t="inlineStr">
        <is>
          <t>ΠΑΠ-20670/24</t>
        </is>
      </c>
      <c r="B21" s="10" t="inlineStr">
        <is>
          <t>16053484004</t>
        </is>
      </c>
      <c r="C21" s="10" t="inlineStr">
        <is>
          <t>02/09/2026</t>
        </is>
      </c>
      <c r="D21" s="10" t="inlineStr">
        <is>
          <t>ΧΕΙΡΟΥΡΓΙΚΗ</t>
        </is>
      </c>
      <c r="E21" s="10" t="inlineStr">
        <is>
          <t>10</t>
        </is>
      </c>
      <c r="F21" s="10" t="inlineStr">
        <is>
          <t>3η Υ.ΠΕ.</t>
        </is>
      </c>
      <c r="G21" s="11" t="inlineStr">
        <is>
          <t>Γ.Ν.Θ. Παπαγεωργίου</t>
        </is>
      </c>
      <c r="H21" s="11" t="inlineStr">
        <is>
          <t>Επιμελητής Β' — ΧΕΙΡΟΥΡΓΙΚΗ</t>
        </is>
      </c>
      <c r="I21" s="10" t="n">
        <v>1</v>
      </c>
      <c r="J21" s="10" t="inlineStr">
        <is>
          <t>ΝΑΙ</t>
        </is>
      </c>
      <c r="K21" s="10" t="inlineStr">
        <is>
          <t>ΝΑΙ</t>
        </is>
      </c>
      <c r="L21" s="10" t="n">
        <v>2</v>
      </c>
      <c r="M21" s="12">
        <f>MIN(2*1.91+5*1.91+2*1.91,500)</f>
        <v/>
      </c>
      <c r="N21" s="12">
        <f>MIN(2*1.5+1*0.5+3*1.25+8*0.5+2*0.1+10*0.35+1*3+1*5+1*3.5+1*2.5+15+1*2+4*1,200)+MIN(25,100)</f>
        <v/>
      </c>
      <c r="O21" s="12">
        <f>MIN(MIN(30,150)+MIN(10+5,50),200)</f>
        <v/>
      </c>
      <c r="P21" s="13">
        <f>MIN(M21+N21+O21,1000)</f>
        <v/>
      </c>
      <c r="Q21" s="10" t="n"/>
    </row>
    <row r="22">
      <c r="A22" s="10" t="inlineStr">
        <is>
          <t>ΠΑΠ-20670/25</t>
        </is>
      </c>
      <c r="B22" s="10" t="inlineStr">
        <is>
          <t>88140790822</t>
        </is>
      </c>
      <c r="C22" s="10" t="inlineStr">
        <is>
          <t>02/09/2026</t>
        </is>
      </c>
      <c r="D22" s="10" t="inlineStr">
        <is>
          <t>ΧΕΙΡΟΥΡΓΙΚΗ</t>
        </is>
      </c>
      <c r="E22" s="10" t="inlineStr">
        <is>
          <t>9</t>
        </is>
      </c>
      <c r="F22" s="10" t="inlineStr">
        <is>
          <t>3η Υ.ΠΕ.</t>
        </is>
      </c>
      <c r="G22" s="11" t="inlineStr">
        <is>
          <t>Γ.Ν.Θ. Παπαγεωργίου</t>
        </is>
      </c>
      <c r="H22" s="11" t="inlineStr">
        <is>
          <t>Επιμελητής Β' — ΧΕΙΡΟΥΡΓΙΚΗ</t>
        </is>
      </c>
      <c r="I22" s="10" t="n">
        <v>1</v>
      </c>
      <c r="J22" s="10" t="inlineStr">
        <is>
          <t>ΝΑΙ</t>
        </is>
      </c>
      <c r="K22" s="10" t="inlineStr">
        <is>
          <t>ΝΑΙ</t>
        </is>
      </c>
      <c r="L22" s="10" t="n">
        <v>2</v>
      </c>
      <c r="M22" s="12">
        <f>MIN(3*1.91+16*1.91+24*1.91+5+25,500)</f>
        <v/>
      </c>
      <c r="N22" s="12">
        <f>MIN(1*1.5+3*0.5+1*1.25+2*0.1+2*0.35+2*3+2*5+2*2.5+3*3.5+1*0.2+1*2.5+15+7*1,200)+MIN(25,100)</f>
        <v/>
      </c>
      <c r="O22" s="12">
        <f>MIN(MIN(10+120,150)+MIN(20+5,50),200)</f>
        <v/>
      </c>
      <c r="P22" s="13">
        <f>MIN(M22+N22+O22,1000)</f>
        <v/>
      </c>
      <c r="Q22" s="10" t="n"/>
    </row>
    <row r="23">
      <c r="A23" s="10" t="inlineStr">
        <is>
          <t>ΠΑΠ-20670/25</t>
        </is>
      </c>
      <c r="B23" s="10" t="inlineStr">
        <is>
          <t>88140790822</t>
        </is>
      </c>
      <c r="C23" s="10" t="inlineStr">
        <is>
          <t>02/09/2026</t>
        </is>
      </c>
      <c r="D23" s="10" t="inlineStr">
        <is>
          <t>ΧΕΙΡΟΥΡΓΙΚΗ</t>
        </is>
      </c>
      <c r="E23" s="10" t="inlineStr">
        <is>
          <t>10</t>
        </is>
      </c>
      <c r="F23" s="10" t="inlineStr">
        <is>
          <t>3η Υ.ΠΕ.</t>
        </is>
      </c>
      <c r="G23" s="11" t="inlineStr">
        <is>
          <t>Γ.Ν.Θ. Παπαγεωργίου</t>
        </is>
      </c>
      <c r="H23" s="11" t="inlineStr">
        <is>
          <t>Επιμελητής Β' — ΧΕΙΡΟΥΡΓΙΚΗ</t>
        </is>
      </c>
      <c r="I23" s="10" t="n">
        <v>1</v>
      </c>
      <c r="J23" s="10" t="inlineStr">
        <is>
          <t>ΝΑΙ</t>
        </is>
      </c>
      <c r="K23" s="10" t="inlineStr">
        <is>
          <t>ΝΑΙ</t>
        </is>
      </c>
      <c r="L23" s="10" t="n">
        <v>1</v>
      </c>
      <c r="M23" s="12">
        <f>MIN(3*1.91+16*1.91+24*1.91+5+25,500)</f>
        <v/>
      </c>
      <c r="N23" s="12">
        <f>MIN(1*1.5+3*0.5+1*1.25+2*0.1+2*0.35+2*3+2*5+2*2.5+3*3.5+1*0.2+1*2.5+15+7*1,200)+MIN(25,100)</f>
        <v/>
      </c>
      <c r="O23" s="12">
        <f>MIN(MIN(10+120,150)+MIN(20+5,50),200)</f>
        <v/>
      </c>
      <c r="P23" s="13">
        <f>MIN(M23+N23+O23,1000)</f>
        <v/>
      </c>
      <c r="Q23" s="10" t="n"/>
    </row>
    <row r="24">
      <c r="A24" s="10" t="inlineStr">
        <is>
          <t>ΠΑΠ-20670/26</t>
        </is>
      </c>
      <c r="B24" s="10" t="inlineStr">
        <is>
          <t>95653795340</t>
        </is>
      </c>
      <c r="C24" s="10" t="inlineStr">
        <is>
          <t>02/09/2026</t>
        </is>
      </c>
      <c r="D24" s="10" t="inlineStr">
        <is>
          <t>ΑΝΑΙΣΘΗΣΙΟΛΟΓΙΑ</t>
        </is>
      </c>
      <c r="E24" s="10" t="inlineStr">
        <is>
          <t>3</t>
        </is>
      </c>
      <c r="F24" s="10" t="inlineStr">
        <is>
          <t>3η Υ.ΠΕ.</t>
        </is>
      </c>
      <c r="G24" s="11" t="inlineStr">
        <is>
          <t>Γ.Ν.Θ. Παπαγεωργίου</t>
        </is>
      </c>
      <c r="H24" s="11" t="inlineStr">
        <is>
          <t>Επιμελητής Β' — ΑΝΑΙΣΘΗΣΙΟΛΟΓΙΑ</t>
        </is>
      </c>
      <c r="I24" s="10" t="n">
        <v>3</v>
      </c>
      <c r="J24" s="10" t="inlineStr">
        <is>
          <t>ΟΧΙ</t>
        </is>
      </c>
      <c r="K24" s="10" t="inlineStr">
        <is>
          <t>ΝΑΙ</t>
        </is>
      </c>
      <c r="L24" s="10" t="n">
        <v>1</v>
      </c>
      <c r="M24" s="12">
        <f>MIN(3*1+124*1+11*2.75,500)</f>
        <v/>
      </c>
      <c r="N24" s="12">
        <f>MIN(1*0.5+1*10+1*3.5+1*1+20,200)+MIN(0,100)</f>
        <v/>
      </c>
      <c r="O24" s="12">
        <f>MIN(MIN(5+100,150)+MIN(10+5,50),200)</f>
        <v/>
      </c>
      <c r="P24" s="13">
        <f>MIN(M24+N24+O24,1000)</f>
        <v/>
      </c>
      <c r="Q24" s="10" t="n"/>
    </row>
    <row r="25">
      <c r="A25" s="10" t="inlineStr">
        <is>
          <t>ΠΑΠ-20670/27</t>
        </is>
      </c>
      <c r="B25" s="10" t="inlineStr">
        <is>
          <t>84261805125</t>
        </is>
      </c>
      <c r="C25" s="10" t="inlineStr">
        <is>
          <t>02/09/2026</t>
        </is>
      </c>
      <c r="D25" s="10" t="inlineStr">
        <is>
          <t>ΑΙΜΑΤΟΛΟΓΙΑ</t>
        </is>
      </c>
      <c r="E25" s="10" t="inlineStr">
        <is>
          <t>1</t>
        </is>
      </c>
      <c r="F25" s="10" t="inlineStr">
        <is>
          <t>3η Υ.ΠΕ.</t>
        </is>
      </c>
      <c r="G25" s="11" t="inlineStr">
        <is>
          <t>Γ.Ν.Θ. Παπαγεωργίου</t>
        </is>
      </c>
      <c r="H25" s="11" t="inlineStr">
        <is>
          <t>Επιμελητής Β' — ΑΙΜΑΤΟΛΟΓΙΑ</t>
        </is>
      </c>
      <c r="I25" s="10" t="n">
        <v>1</v>
      </c>
      <c r="J25" s="10" t="inlineStr">
        <is>
          <t>ΟΧΙ</t>
        </is>
      </c>
      <c r="K25" s="10" t="inlineStr">
        <is>
          <t>ΝΑΙ</t>
        </is>
      </c>
      <c r="L25" s="10" t="n">
        <v>1</v>
      </c>
      <c r="M25" s="12">
        <f>MIN(8*3.83+25,500)</f>
        <v/>
      </c>
      <c r="N25" s="12">
        <f>MIN(12*0.5+12*1.25+4*0.5+16*0.1+7*0.35+3*3+1*2.5+1*3.5+1*0.5+2*1.5+1*2.5+25+2*1,200)+MIN(25,100)</f>
        <v/>
      </c>
      <c r="O25" s="12">
        <f>MIN(MIN(10,150)+MIN(0,50),200)</f>
        <v/>
      </c>
      <c r="P25" s="13">
        <f>MIN(M25+N25+O25,1000)</f>
        <v/>
      </c>
      <c r="Q25" s="10" t="n"/>
    </row>
    <row r="26">
      <c r="A26" s="10" t="inlineStr">
        <is>
          <t>ΠΑΠ-20670/28</t>
        </is>
      </c>
      <c r="B26" s="10" t="inlineStr">
        <is>
          <t>14827804736</t>
        </is>
      </c>
      <c r="C26" s="10" t="inlineStr">
        <is>
          <t>02/09/2026</t>
        </is>
      </c>
      <c r="D26" s="10" t="inlineStr">
        <is>
          <t>ΕΣΩΤΕΡΙΚΗ ΠΑΘΟΛΟΓΙΑ</t>
        </is>
      </c>
      <c r="E26" s="10" t="inlineStr">
        <is>
          <t>7</t>
        </is>
      </c>
      <c r="F26" s="10" t="inlineStr">
        <is>
          <t>3η Υ.ΠΕ.</t>
        </is>
      </c>
      <c r="G26" s="11" t="inlineStr">
        <is>
          <t>Γ.Ν.Θ. Παπαγεωργίου</t>
        </is>
      </c>
      <c r="H26" s="11" t="inlineStr">
        <is>
          <t>Επιμελητής Β' — ΕΣΩΤΕΡΙΚΗ ΠΑΘΟΛΟΓΙΑ</t>
        </is>
      </c>
      <c r="I26" s="10" t="n">
        <v>1</v>
      </c>
      <c r="J26" s="10" t="inlineStr">
        <is>
          <t>ΟΧΙ</t>
        </is>
      </c>
      <c r="K26" s="10" t="inlineStr">
        <is>
          <t>ΝΑΙ</t>
        </is>
      </c>
      <c r="L26" s="10" t="n">
        <v>1</v>
      </c>
      <c r="M26" s="12">
        <f>MIN(29*3.83+1*3.83,500)</f>
        <v/>
      </c>
      <c r="N26" s="12">
        <f>MIN(1*1.5+4*0.5+5*1.25+4*0.5+4*0.1+1*0.35+10*3+2*5+5*2.5+5*3.5+8*3.5+10*1.5+11*2.5+25+3*1,200)+MIN(25+75,100)</f>
        <v/>
      </c>
      <c r="O26" s="12">
        <f>MIN(MIN(20,150)+MIN(5,50),200)</f>
        <v/>
      </c>
      <c r="P26" s="13">
        <f>MIN(M26+N26+O26,1000)</f>
        <v/>
      </c>
      <c r="Q26" s="10" t="n"/>
    </row>
    <row r="27">
      <c r="A27" s="10" t="inlineStr">
        <is>
          <t>ΠΑΠ-20670/29</t>
        </is>
      </c>
      <c r="B27" s="10" t="inlineStr">
        <is>
          <t>15905381449</t>
        </is>
      </c>
      <c r="C27" s="10" t="inlineStr">
        <is>
          <t>02/09/2026</t>
        </is>
      </c>
      <c r="D27" s="10" t="inlineStr">
        <is>
          <t>ΧΕΙΡΟΥΡΓΙΚΗ</t>
        </is>
      </c>
      <c r="E27" s="10" t="inlineStr">
        <is>
          <t>9</t>
        </is>
      </c>
      <c r="F27" s="10" t="inlineStr">
        <is>
          <t>3η Υ.ΠΕ.</t>
        </is>
      </c>
      <c r="G27" s="11" t="inlineStr">
        <is>
          <t>Γ.Ν.Θ. Παπαγεωργίου</t>
        </is>
      </c>
      <c r="H27" s="11" t="inlineStr">
        <is>
          <t>Επιμελητής Β' — ΧΕΙΡΟΥΡΓΙΚΗ</t>
        </is>
      </c>
      <c r="I27" s="10" t="n">
        <v>1</v>
      </c>
      <c r="J27" s="10" t="inlineStr">
        <is>
          <t>ΝΑΙ</t>
        </is>
      </c>
      <c r="K27" s="10" t="inlineStr">
        <is>
          <t>ΝΑΙ</t>
        </is>
      </c>
      <c r="L27" s="10" t="n">
        <v>1</v>
      </c>
      <c r="M27" s="12">
        <f>MIN(5*3.83+17*3.83+25,500)</f>
        <v/>
      </c>
      <c r="N27" s="12">
        <f>MIN(2*0.5+2*1.25+5*0.5+4*0.1+12*0.35+2*2.5+15+2*1,200)+MIN(25,100)</f>
        <v/>
      </c>
      <c r="O27" s="12">
        <f>MIN(MIN(30,150)+MIN(10+5,50),200)</f>
        <v/>
      </c>
      <c r="P27" s="13">
        <f>MIN(M27+N27+O27,1000)</f>
        <v/>
      </c>
      <c r="Q27" s="10" t="n"/>
    </row>
    <row r="28">
      <c r="A28" s="10" t="inlineStr">
        <is>
          <t>ΠΑΠ-20670/29</t>
        </is>
      </c>
      <c r="B28" s="10" t="inlineStr">
        <is>
          <t>15905381449</t>
        </is>
      </c>
      <c r="C28" s="10" t="inlineStr">
        <is>
          <t>02/09/2026</t>
        </is>
      </c>
      <c r="D28" s="10" t="inlineStr">
        <is>
          <t>ΧΕΙΡΟΥΡΓΙΚΗ</t>
        </is>
      </c>
      <c r="E28" s="10" t="inlineStr">
        <is>
          <t>10</t>
        </is>
      </c>
      <c r="F28" s="10" t="inlineStr">
        <is>
          <t>3η Υ.ΠΕ.</t>
        </is>
      </c>
      <c r="G28" s="11" t="inlineStr">
        <is>
          <t>Γ.Ν.Θ. Παπαγεωργίου</t>
        </is>
      </c>
      <c r="H28" s="11" t="inlineStr">
        <is>
          <t>Επιμελητής Β' — ΧΕΙΡΟΥΡΓΙΚΗ</t>
        </is>
      </c>
      <c r="I28" s="10" t="n">
        <v>1</v>
      </c>
      <c r="J28" s="10" t="inlineStr">
        <is>
          <t>ΝΑΙ</t>
        </is>
      </c>
      <c r="K28" s="10" t="inlineStr">
        <is>
          <t>ΝΑΙ</t>
        </is>
      </c>
      <c r="L28" s="10" t="n">
        <v>2</v>
      </c>
      <c r="M28" s="12">
        <f>MIN(5*3.83+17*3.83+25,500)</f>
        <v/>
      </c>
      <c r="N28" s="12">
        <f>MIN(2*0.5+2*1.25+5*0.5+4*0.1+12*0.35+2*2.5+15+2*1,200)+MIN(25,100)</f>
        <v/>
      </c>
      <c r="O28" s="12">
        <f>MIN(MIN(30,150)+MIN(10+5,50),200)</f>
        <v/>
      </c>
      <c r="P28" s="13">
        <f>MIN(M28+N28+O28,1000)</f>
        <v/>
      </c>
      <c r="Q28" s="10" t="n"/>
    </row>
    <row r="29">
      <c r="A29" s="10" t="inlineStr">
        <is>
          <t>ΠΑΠ-20670/3</t>
        </is>
      </c>
      <c r="B29" s="10" t="inlineStr">
        <is>
          <t>56436699436</t>
        </is>
      </c>
      <c r="C29" s="10" t="inlineStr">
        <is>
          <t>23/08/2026</t>
        </is>
      </c>
      <c r="D29" s="10" t="inlineStr">
        <is>
          <t>ΓΕΝΙΚΗ/ΟΙΚΟΓΕΝΕΙΑΚΗ ΙΑΤΡΙΚΗ</t>
        </is>
      </c>
      <c r="E29" s="10" t="inlineStr">
        <is>
          <t>12</t>
        </is>
      </c>
      <c r="F29" s="10" t="inlineStr">
        <is>
          <t>3η Υ.ΠΕ.</t>
        </is>
      </c>
      <c r="G29" s="11" t="inlineStr">
        <is>
          <t>Γ.Ν.Θ. Παπαγεωργίου</t>
        </is>
      </c>
      <c r="H29" s="11" t="inlineStr">
        <is>
          <t>Επιμελητής Β' — ΑΝΑΙΣΘΗΣΙΟΛΟΓΙΑ / ΕΣΩΤΕΡΙΚΗ ΠΑΘΟΛΟΓΙΑ / ΚΑΡΔΙΟΛΟΓΙΑ / ΠΝΕΥΜΟΝΟΛΟΓΙΑ - ΦΥΜΑΤΙΟΛΟΓΙΑ / ΧΕΙΡΟΥΡΓΙΚΗ / ΟΡΘΟΠΑΙΔΙΚΗ ΚΑΙ ΤΡΑΥΜΑΤΟΛΟΓΙΑ / ΓΕΝΙΚΗ/ΟΙΚΟΓΕΝΕΙΑΚΗ ΙΑΤΡΙΚΗ</t>
        </is>
      </c>
      <c r="I29" s="10" t="n">
        <v>3</v>
      </c>
      <c r="J29" s="10" t="inlineStr">
        <is>
          <t>ΝΑΙ</t>
        </is>
      </c>
      <c r="K29" s="10" t="inlineStr">
        <is>
          <t>ΝΑΙ</t>
        </is>
      </c>
      <c r="L29" s="10" t="n">
        <v>1</v>
      </c>
      <c r="M29" s="12">
        <f>MIN(24*1.5+11*3.83+11*3.83+11*3.83+45*3.83+34*3.83+2*2.75+25+100,500)</f>
        <v/>
      </c>
      <c r="N29" s="12">
        <f>MIN(1*0.5+1*0.5+2*0.1+5+6*2+11*1,200)+MIN(0,100)</f>
        <v/>
      </c>
      <c r="O29" s="12">
        <f>MIN(MIN(30+120,150)+MIN(20+30,50),200)</f>
        <v/>
      </c>
      <c r="P29" s="13">
        <f>MIN(M29+N29+O29,1000)</f>
        <v/>
      </c>
      <c r="Q29" s="10" t="n"/>
    </row>
    <row r="30">
      <c r="A30" s="10" t="inlineStr">
        <is>
          <t>ΠΑΠ-20670/30</t>
        </is>
      </c>
      <c r="B30" s="10" t="inlineStr">
        <is>
          <t>50713649145</t>
        </is>
      </c>
      <c r="C30" s="10" t="inlineStr">
        <is>
          <t>02/09/2026</t>
        </is>
      </c>
      <c r="D30" s="10" t="inlineStr">
        <is>
          <t>ΑΝΑΙΣΘΗΣΙΟΛΟΓΙΑ</t>
        </is>
      </c>
      <c r="E30" s="10" t="inlineStr">
        <is>
          <t>3</t>
        </is>
      </c>
      <c r="F30" s="10" t="inlineStr">
        <is>
          <t>3η Υ.ΠΕ.</t>
        </is>
      </c>
      <c r="G30" s="11" t="inlineStr">
        <is>
          <t>Γ.Ν.Θ. Παπαγεωργίου</t>
        </is>
      </c>
      <c r="H30" s="11" t="inlineStr">
        <is>
          <t>Επιμελητής Β' — ΑΝΑΙΣΘΗΣΙΟΛΟΓΙΑ</t>
        </is>
      </c>
      <c r="I30" s="10" t="n">
        <v>3</v>
      </c>
      <c r="J30" s="10" t="inlineStr">
        <is>
          <t>ΟΧΙ</t>
        </is>
      </c>
      <c r="K30" s="10" t="inlineStr">
        <is>
          <t>ΝΑΙ</t>
        </is>
      </c>
      <c r="L30" s="10" t="n">
        <v>1</v>
      </c>
      <c r="M30" s="12">
        <f>MIN(12*3.83+2*2.75,500)</f>
        <v/>
      </c>
      <c r="N30" s="12">
        <f>MIN(1*1.5+4*0.5+2*0.1+1*0.2+5*1,200)+MIN(0,100)</f>
        <v/>
      </c>
      <c r="O30" s="12">
        <f>MIN(MIN(10,150)+MIN(0,50),200)</f>
        <v/>
      </c>
      <c r="P30" s="13">
        <f>MIN(M30+N30+O30,1000)</f>
        <v/>
      </c>
      <c r="Q30" s="10" t="n"/>
    </row>
    <row r="31">
      <c r="A31" s="10" t="inlineStr">
        <is>
          <t>ΠΑΠ-20670/31</t>
        </is>
      </c>
      <c r="B31" s="10" t="inlineStr">
        <is>
          <t>45677423599</t>
        </is>
      </c>
      <c r="C31" s="10" t="inlineStr">
        <is>
          <t>03/09/2026</t>
        </is>
      </c>
      <c r="D31" s="10" t="inlineStr">
        <is>
          <t>ΑΝΑΙΣΘΗΣΙΟΛΟΓΙΑ</t>
        </is>
      </c>
      <c r="E31" s="10" t="inlineStr">
        <is>
          <t>3</t>
        </is>
      </c>
      <c r="F31" s="10" t="inlineStr">
        <is>
          <t>3η Υ.ΠΕ.</t>
        </is>
      </c>
      <c r="G31" s="11" t="inlineStr">
        <is>
          <t>Γ.Ν.Θ. Παπαγεωργίου</t>
        </is>
      </c>
      <c r="H31" s="11" t="inlineStr">
        <is>
          <t>Επιμελητής Β' — ΑΝΑΙΣΘΗΣΙΟΛΟΓΙΑ</t>
        </is>
      </c>
      <c r="I31" s="10" t="n">
        <v>3</v>
      </c>
      <c r="J31" s="10" t="inlineStr">
        <is>
          <t>ΟΧΙ</t>
        </is>
      </c>
      <c r="K31" s="10" t="inlineStr">
        <is>
          <t>ΝΑΙ</t>
        </is>
      </c>
      <c r="L31" s="10" t="n">
        <v>1</v>
      </c>
      <c r="M31" s="12">
        <f>MIN(9*3.83+10*1+30*3.83+22*3.83+64*3.83+9*3.83+5,500)</f>
        <v/>
      </c>
      <c r="N31" s="12">
        <f>MIN(2*0.5+8*0.1+5*0.35+5+2*1.5+1*2.5+15+4*1,200)+MIN(25,100)</f>
        <v/>
      </c>
      <c r="O31" s="12">
        <f>MIN(MIN(30,150)+MIN(20,50),200)</f>
        <v/>
      </c>
      <c r="P31" s="13">
        <f>MIN(M31+N31+O31,1000)</f>
        <v/>
      </c>
      <c r="Q31" s="10" t="n"/>
    </row>
    <row r="32">
      <c r="A32" s="10" t="inlineStr">
        <is>
          <t>ΠΑΠ-20670/32</t>
        </is>
      </c>
      <c r="B32" s="10" t="inlineStr">
        <is>
          <t>74409187685</t>
        </is>
      </c>
      <c r="C32" s="10" t="inlineStr">
        <is>
          <t>03/09/2026</t>
        </is>
      </c>
      <c r="D32" s="10" t="inlineStr">
        <is>
          <t>ΕΣΩΤΕΡΙΚΗ ΠΑΘΟΛΟΓΙΑ</t>
        </is>
      </c>
      <c r="E32" s="10" t="inlineStr">
        <is>
          <t>12</t>
        </is>
      </c>
      <c r="F32" s="10" t="inlineStr">
        <is>
          <t>3η Υ.ΠΕ.</t>
        </is>
      </c>
      <c r="G32" s="11" t="inlineStr">
        <is>
          <t>Γ.Ν.Θ. Παπαγεωργίου</t>
        </is>
      </c>
      <c r="H32" s="11" t="inlineStr">
        <is>
          <t>Επιμελητής Β' — ΑΝΑΙΣΘΗΣΙΟΛΟΓΙΑ / ΕΣΩΤΕΡΙΚΗ ΠΑΘΟΛΟΓΙΑ / ΚΑΡΔΙΟΛΟΓΙΑ / ΠΝΕΥΜΟΝΟΛΟΓΙΑ - ΦΥΜΑΤΙΟΛΟΓΙΑ / ΧΕΙΡΟΥΡΓΙΚΗ / ΟΡΘΟΠΑΙΔΙΚΗ ΚΑΙ ΤΡΑΥΜΑΤΟΛΟΓΙΑ / ΓΕΝΙΚΗ/ΟΙΚΟΓΕΝΕΙΑΚΗ ΙΑΤΡΙΚΗ</t>
        </is>
      </c>
      <c r="I32" s="10" t="n">
        <v>3</v>
      </c>
      <c r="J32" s="10" t="inlineStr">
        <is>
          <t>ΝΑΙ</t>
        </is>
      </c>
      <c r="K32" s="10" t="inlineStr">
        <is>
          <t>ΝΑΙ</t>
        </is>
      </c>
      <c r="L32" s="10" t="n">
        <v>1</v>
      </c>
      <c r="M32" s="12">
        <f>MIN(19*2.5,500)</f>
        <v/>
      </c>
      <c r="N32" s="12">
        <f>MIN(1*0.5+1*0.1+1*0.35+1*2,200)+MIN(0,100)</f>
        <v/>
      </c>
      <c r="O32" s="12">
        <f>MIN(MIN(5,150)+MIN(0,50),200)</f>
        <v/>
      </c>
      <c r="P32" s="13">
        <f>MIN(M32+N32+O32,1000)</f>
        <v/>
      </c>
      <c r="Q32" s="10" t="n"/>
    </row>
    <row r="33">
      <c r="A33" s="10" t="inlineStr">
        <is>
          <t>ΠΑΠ-20670/33</t>
        </is>
      </c>
      <c r="B33" s="10" t="inlineStr">
        <is>
          <t>79531052388</t>
        </is>
      </c>
      <c r="C33" s="10" t="inlineStr">
        <is>
          <t>03/09/2026</t>
        </is>
      </c>
      <c r="D33" s="10" t="inlineStr">
        <is>
          <t>ΝΕΥΡΟΧΕΙΡΟΥΡΓΙΚΗ</t>
        </is>
      </c>
      <c r="E33" s="10" t="inlineStr">
        <is>
          <t>5</t>
        </is>
      </c>
      <c r="F33" s="10" t="inlineStr">
        <is>
          <t>3η Υ.ΠΕ.</t>
        </is>
      </c>
      <c r="G33" s="11" t="inlineStr">
        <is>
          <t>Γ.Ν.Θ. Παπαγεωργίου</t>
        </is>
      </c>
      <c r="H33" s="11" t="inlineStr">
        <is>
          <t>Επιμελητής Β' — ΝΕΥΡΟΧΕΙΡΟΥΡΓΙΚΗ</t>
        </is>
      </c>
      <c r="I33" s="10" t="n">
        <v>1</v>
      </c>
      <c r="J33" s="10" t="inlineStr">
        <is>
          <t>ΟΧΙ</t>
        </is>
      </c>
      <c r="K33" s="10" t="inlineStr">
        <is>
          <t>ΝΑΙ</t>
        </is>
      </c>
      <c r="L33" s="10" t="n">
        <v>1</v>
      </c>
      <c r="M33" s="12">
        <f>MIN(2*1,500)</f>
        <v/>
      </c>
      <c r="N33" s="12">
        <f>MIN(2*0.5+4*0.1+3*3+1*3.5+8*1.5+1*2.5+2*1+20,200)+MIN(0,100)</f>
        <v/>
      </c>
      <c r="O33" s="12">
        <f>MIN(MIN(5,150)+MIN(10,50),200)</f>
        <v/>
      </c>
      <c r="P33" s="13">
        <f>MIN(M33+N33+O33,1000)</f>
        <v/>
      </c>
      <c r="Q33" s="10" t="n"/>
    </row>
    <row r="34">
      <c r="A34" s="10" t="inlineStr">
        <is>
          <t>ΠΑΠ-20670/34</t>
        </is>
      </c>
      <c r="B34" s="10" t="inlineStr">
        <is>
          <t>40176286866</t>
        </is>
      </c>
      <c r="C34" s="10" t="inlineStr">
        <is>
          <t>03/09/2026</t>
        </is>
      </c>
      <c r="D34" s="10" t="inlineStr">
        <is>
          <t>ΧΕΙΡΟΥΡΓΙΚΗ</t>
        </is>
      </c>
      <c r="E34" s="10" t="inlineStr">
        <is>
          <t>9</t>
        </is>
      </c>
      <c r="F34" s="10" t="inlineStr">
        <is>
          <t>3η Υ.ΠΕ.</t>
        </is>
      </c>
      <c r="G34" s="11" t="inlineStr">
        <is>
          <t>Γ.Ν.Θ. Παπαγεωργίου</t>
        </is>
      </c>
      <c r="H34" s="11" t="inlineStr">
        <is>
          <t>Επιμελητής Β' — ΧΕΙΡΟΥΡΓΙΚΗ</t>
        </is>
      </c>
      <c r="I34" s="10" t="n">
        <v>1</v>
      </c>
      <c r="J34" s="10" t="inlineStr">
        <is>
          <t>ΝΑΙ</t>
        </is>
      </c>
      <c r="K34" s="10" t="inlineStr">
        <is>
          <t>ΝΑΙ</t>
        </is>
      </c>
      <c r="L34" s="10" t="n">
        <v>1</v>
      </c>
      <c r="M34" s="12">
        <f>MIN(23*3.83+12*2.5+1*0.5+5*3.83+2*2.75,500)</f>
        <v/>
      </c>
      <c r="N34" s="12">
        <f>MIN(2*1.5+3*0.5+2*1.25+2*0.5+11*0.1+8*0.35+5+10+8*3+3*5+10*2.5+1*3.5+2*0.5+2*3.5+25*1.5+10*2.5+5*1,200)+MIN(0,100)</f>
        <v/>
      </c>
      <c r="O34" s="12">
        <f>MIN(MIN(20+35,150)+MIN(10,50),200)</f>
        <v/>
      </c>
      <c r="P34" s="13">
        <f>MIN(M34+N34+O34,1000)</f>
        <v/>
      </c>
      <c r="Q34" s="10" t="n"/>
    </row>
    <row r="35">
      <c r="A35" s="10" t="inlineStr">
        <is>
          <t>ΠΑΠ-20670/35</t>
        </is>
      </c>
      <c r="B35" s="10" t="inlineStr">
        <is>
          <t>22753035114</t>
        </is>
      </c>
      <c r="C35" s="10" t="inlineStr">
        <is>
          <t>03/09/2026</t>
        </is>
      </c>
      <c r="D35" s="10" t="inlineStr">
        <is>
          <t>ΟΡΘΟΠΑΙΔΙΚΗ ΚΑΙ ΤΡΑΥΜΑΤΟΛΟΓΙΑ</t>
        </is>
      </c>
      <c r="E35" s="10" t="inlineStr">
        <is>
          <t>12</t>
        </is>
      </c>
      <c r="F35" s="10" t="inlineStr">
        <is>
          <t>3η Υ.ΠΕ.</t>
        </is>
      </c>
      <c r="G35" s="11" t="inlineStr">
        <is>
          <t>Γ.Ν.Θ. Παπαγεωργίου</t>
        </is>
      </c>
      <c r="H35" s="11" t="inlineStr">
        <is>
          <t>Επιμελητής Β' — ΑΝΑΙΣΘΗΣΙΟΛΟΓΙΑ / ΕΣΩΤΕΡΙΚΗ ΠΑΘΟΛΟΓΙΑ / ΚΑΡΔΙΟΛΟΓΙΑ / ΠΝΕΥΜΟΝΟΛΟΓΙΑ - ΦΥΜΑΤΙΟΛΟΓΙΑ / ΧΕΙΡΟΥΡΓΙΚΗ / ΟΡΘΟΠΑΙΔΙΚΗ ΚΑΙ ΤΡΑΥΜΑΤΟΛΟΓΙΑ / ΓΕΝΙΚΗ/ΟΙΚΟΓΕΝΕΙΑΚΗ ΙΑΤΡΙΚΗ</t>
        </is>
      </c>
      <c r="I35" s="10" t="n">
        <v>3</v>
      </c>
      <c r="J35" s="10" t="inlineStr">
        <is>
          <t>ΝΑΙ</t>
        </is>
      </c>
      <c r="K35" s="10" t="inlineStr">
        <is>
          <t>ΝΑΙ</t>
        </is>
      </c>
      <c r="L35" s="10" t="n">
        <v>1</v>
      </c>
      <c r="M35" s="12">
        <f>MIN(1*3.83+16*3.83+25,500)</f>
        <v/>
      </c>
      <c r="N35" s="12">
        <f>MIN(1*0.5+2*0.1+8*0.35+5+1*3+1*3.5+2*2.5+6*1+20,200)+MIN(0,100)</f>
        <v/>
      </c>
      <c r="O35" s="12">
        <f>MIN(MIN(20+100,150)+MIN(10+10,50),200)</f>
        <v/>
      </c>
      <c r="P35" s="13">
        <f>MIN(M35+N35+O35,1000)</f>
        <v/>
      </c>
      <c r="Q35" s="10" t="n"/>
    </row>
    <row r="36">
      <c r="A36" s="10" t="inlineStr">
        <is>
          <t>ΠΑΠ-20670/36</t>
        </is>
      </c>
      <c r="B36" s="10" t="inlineStr">
        <is>
          <t>15547298603</t>
        </is>
      </c>
      <c r="C36" s="10" t="inlineStr">
        <is>
          <t>03/09/2026</t>
        </is>
      </c>
      <c r="D36" s="10" t="inlineStr">
        <is>
          <t>ΧΕΙΡΟΥΡΓΙΚΗ</t>
        </is>
      </c>
      <c r="E36" s="10" t="inlineStr">
        <is>
          <t>9</t>
        </is>
      </c>
      <c r="F36" s="10" t="inlineStr">
        <is>
          <t>3η Υ.ΠΕ.</t>
        </is>
      </c>
      <c r="G36" s="11" t="inlineStr">
        <is>
          <t>Γ.Ν.Θ. Παπαγεωργίου</t>
        </is>
      </c>
      <c r="H36" s="11" t="inlineStr">
        <is>
          <t>Επιμελητής Β' — ΧΕΙΡΟΥΡΓΙΚΗ</t>
        </is>
      </c>
      <c r="I36" s="10" t="n">
        <v>1</v>
      </c>
      <c r="J36" s="10" t="inlineStr">
        <is>
          <t>ΝΑΙ</t>
        </is>
      </c>
      <c r="K36" s="10" t="inlineStr">
        <is>
          <t>ΝΑΙ</t>
        </is>
      </c>
      <c r="L36" s="10" t="n">
        <v>2</v>
      </c>
      <c r="M36" s="12">
        <f>MIN(24*1.91+25*1.91*2+63*0.5+25,500)</f>
        <v/>
      </c>
      <c r="N36" s="12">
        <f>MIN(1*0.5+4*0.5+6*0.1+3*0.35+1*5+6*1+20,200)+MIN(25,100)</f>
        <v/>
      </c>
      <c r="O36" s="12">
        <f>MIN(MIN(30+120,150)+MIN(20+30,50),200)</f>
        <v/>
      </c>
      <c r="P36" s="13">
        <f>MIN(M36+N36+O36,1000)</f>
        <v/>
      </c>
      <c r="Q36" s="10" t="n"/>
    </row>
    <row r="37">
      <c r="A37" s="10" t="inlineStr">
        <is>
          <t>ΠΑΠ-20670/36</t>
        </is>
      </c>
      <c r="B37" s="10" t="inlineStr">
        <is>
          <t>15547298603</t>
        </is>
      </c>
      <c r="C37" s="10" t="inlineStr">
        <is>
          <t>03/09/2026</t>
        </is>
      </c>
      <c r="D37" s="10" t="inlineStr">
        <is>
          <t>ΧΕΙΡΟΥΡΓΙΚΗ</t>
        </is>
      </c>
      <c r="E37" s="10" t="inlineStr">
        <is>
          <t>10</t>
        </is>
      </c>
      <c r="F37" s="10" t="inlineStr">
        <is>
          <t>3η Υ.ΠΕ.</t>
        </is>
      </c>
      <c r="G37" s="11" t="inlineStr">
        <is>
          <t>Γ.Ν.Θ. Παπαγεωργίου</t>
        </is>
      </c>
      <c r="H37" s="11" t="inlineStr">
        <is>
          <t>Επιμελητής Β' — ΧΕΙΡΟΥΡΓΙΚΗ</t>
        </is>
      </c>
      <c r="I37" s="10" t="n">
        <v>1</v>
      </c>
      <c r="J37" s="10" t="inlineStr">
        <is>
          <t>ΝΑΙ</t>
        </is>
      </c>
      <c r="K37" s="10" t="inlineStr">
        <is>
          <t>ΝΑΙ</t>
        </is>
      </c>
      <c r="L37" s="10" t="n">
        <v>1</v>
      </c>
      <c r="M37" s="12">
        <f>MIN(24*1.91+25*1.91*2+63*0.5+25,500)</f>
        <v/>
      </c>
      <c r="N37" s="12">
        <f>MIN(1*0.5+4*0.5+6*0.1+3*0.35+1*5+6*1+20,200)+MIN(25,100)</f>
        <v/>
      </c>
      <c r="O37" s="12">
        <f>MIN(MIN(30+120,150)+MIN(20+30,50),200)</f>
        <v/>
      </c>
      <c r="P37" s="13">
        <f>MIN(M37+N37+O37,1000)</f>
        <v/>
      </c>
      <c r="Q37" s="10" t="n"/>
    </row>
    <row r="38">
      <c r="A38" s="10" t="inlineStr">
        <is>
          <t>ΠΑΠ-20670/37</t>
        </is>
      </c>
      <c r="B38" s="10" t="inlineStr">
        <is>
          <t>95792914760</t>
        </is>
      </c>
      <c r="C38" s="10" t="inlineStr">
        <is>
          <t>03/09/2026</t>
        </is>
      </c>
      <c r="D38" s="10" t="inlineStr">
        <is>
          <t>ΝΕΥΡΟΧΕΙΡΟΥΡΓΙΚΗ</t>
        </is>
      </c>
      <c r="E38" s="10" t="inlineStr">
        <is>
          <t>5</t>
        </is>
      </c>
      <c r="F38" s="10" t="inlineStr">
        <is>
          <t>3η Υ.ΠΕ.</t>
        </is>
      </c>
      <c r="G38" s="11" t="inlineStr">
        <is>
          <t>Γ.Ν.Θ. Παπαγεωργίου</t>
        </is>
      </c>
      <c r="H38" s="11" t="inlineStr">
        <is>
          <t>Επιμελητής Β' — ΝΕΥΡΟΧΕΙΡΟΥΡΓΙΚΗ</t>
        </is>
      </c>
      <c r="I38" s="10" t="n">
        <v>1</v>
      </c>
      <c r="J38" s="10" t="inlineStr">
        <is>
          <t>ΟΧΙ</t>
        </is>
      </c>
      <c r="K38" s="10" t="inlineStr">
        <is>
          <t>ΝΑΙ</t>
        </is>
      </c>
      <c r="L38" s="10" t="n">
        <v>1</v>
      </c>
      <c r="M38" s="12">
        <f>MIN(10*3.83,500)</f>
        <v/>
      </c>
      <c r="N38" s="12">
        <f>MIN(0,200)+MIN(25,100)</f>
        <v/>
      </c>
      <c r="O38" s="12">
        <f>MIN(MIN(0,150)+MIN(0,50),200)</f>
        <v/>
      </c>
      <c r="P38" s="13">
        <f>MIN(M38+N38+O38,1000)</f>
        <v/>
      </c>
      <c r="Q38" s="10" t="n"/>
    </row>
    <row r="39">
      <c r="A39" s="10" t="inlineStr">
        <is>
          <t>ΠΑΠ-20670/4</t>
        </is>
      </c>
      <c r="B39" s="10" t="inlineStr">
        <is>
          <t>12911617523</t>
        </is>
      </c>
      <c r="C39" s="10" t="inlineStr">
        <is>
          <t>25/08/2026</t>
        </is>
      </c>
      <c r="D39" s="10" t="inlineStr">
        <is>
          <t>ΕΣΩΤΕΡΙΚΗ ΠΑΘΟΛΟΓΙΑ</t>
        </is>
      </c>
      <c r="E39" s="10" t="inlineStr">
        <is>
          <t>7</t>
        </is>
      </c>
      <c r="F39" s="10" t="inlineStr">
        <is>
          <t>3η Υ.ΠΕ.</t>
        </is>
      </c>
      <c r="G39" s="11" t="inlineStr">
        <is>
          <t>Γ.Ν.Θ. Παπαγεωργίου</t>
        </is>
      </c>
      <c r="H39" s="11" t="inlineStr">
        <is>
          <t>Επιμελητής Β' — ΕΣΩΤΕΡΙΚΗ ΠΑΘΟΛΟΓΙΑ</t>
        </is>
      </c>
      <c r="I39" s="10" t="n">
        <v>1</v>
      </c>
      <c r="J39" s="10" t="inlineStr">
        <is>
          <t>ΟΧΙ</t>
        </is>
      </c>
      <c r="K39" s="10" t="inlineStr">
        <is>
          <t>ΝΑΙ</t>
        </is>
      </c>
      <c r="L39" s="10" t="n">
        <v>1</v>
      </c>
      <c r="M39" s="12">
        <f>MIN(25,500)</f>
        <v/>
      </c>
      <c r="N39" s="12">
        <f>MIN(1*0.5+2*0.35+1*1,200)+MIN(25,100)</f>
        <v/>
      </c>
      <c r="O39" s="12">
        <f>MIN(MIN(0,150)+MIN(0,50),200)</f>
        <v/>
      </c>
      <c r="P39" s="13">
        <f>MIN(M39+N39+O39,1000)</f>
        <v/>
      </c>
      <c r="Q39" s="10" t="n"/>
    </row>
    <row r="40">
      <c r="A40" s="10" t="inlineStr">
        <is>
          <t>ΠΑΠ-20670/5</t>
        </is>
      </c>
      <c r="B40" s="10" t="inlineStr">
        <is>
          <t>94759950517</t>
        </is>
      </c>
      <c r="C40" s="10" t="inlineStr">
        <is>
          <t>27/08/2026</t>
        </is>
      </c>
      <c r="D40" s="10" t="inlineStr">
        <is>
          <t>ΝΕΥΡΟΧΕΙΡΟΥΡΓΙΚΗ</t>
        </is>
      </c>
      <c r="E40" s="10" t="inlineStr">
        <is>
          <t>5</t>
        </is>
      </c>
      <c r="F40" s="10" t="inlineStr">
        <is>
          <t>3η Υ.ΠΕ.</t>
        </is>
      </c>
      <c r="G40" s="11" t="inlineStr">
        <is>
          <t>Γ.Ν.Θ. Παπαγεωργίου</t>
        </is>
      </c>
      <c r="H40" s="11" t="inlineStr">
        <is>
          <t>Επιμελητής Β' — ΝΕΥΡΟΧΕΙΡΟΥΡΓΙΚΗ</t>
        </is>
      </c>
      <c r="I40" s="10" t="n">
        <v>1</v>
      </c>
      <c r="J40" s="10" t="inlineStr">
        <is>
          <t>ΟΧΙ</t>
        </is>
      </c>
      <c r="K40" s="10" t="inlineStr">
        <is>
          <t>ΝΑΙ</t>
        </is>
      </c>
      <c r="L40" s="10" t="n">
        <v>1</v>
      </c>
      <c r="M40" s="12">
        <f>MIN(20*2.75,500)</f>
        <v/>
      </c>
      <c r="N40" s="12">
        <f>MIN(4*0.1,200)+MIN(0,100)</f>
        <v/>
      </c>
      <c r="O40" s="12">
        <f>MIN(MIN(10,150)+MIN(0,50),200)</f>
        <v/>
      </c>
      <c r="P40" s="13">
        <f>MIN(M40+N40+O40,1000)</f>
        <v/>
      </c>
      <c r="Q40" s="10" t="n"/>
    </row>
    <row r="41">
      <c r="A41" s="10" t="inlineStr">
        <is>
          <t>ΠΑΠ-20670/6</t>
        </is>
      </c>
      <c r="B41" s="10" t="inlineStr">
        <is>
          <t>08009034901</t>
        </is>
      </c>
      <c r="C41" s="10" t="inlineStr">
        <is>
          <t>27/08/2026</t>
        </is>
      </c>
      <c r="D41" s="10" t="inlineStr">
        <is>
          <t>ΟΡΘΟΠΑΙΔΙΚΗ ΚΑΙ ΤΡΑΥΜΑΤΟΛΟΓΙΑ</t>
        </is>
      </c>
      <c r="E41" s="10" t="inlineStr">
        <is>
          <t>6</t>
        </is>
      </c>
      <c r="F41" s="10" t="inlineStr">
        <is>
          <t>3η Υ.ΠΕ.</t>
        </is>
      </c>
      <c r="G41" s="11" t="inlineStr">
        <is>
          <t>Γ.Ν.Θ. Παπαγεωργίου</t>
        </is>
      </c>
      <c r="H41" s="11" t="inlineStr">
        <is>
          <t>Επιμελητής Β' — ΟΡΘΟΠΑΙΔΙΚΗ ΚΑΙ ΤΡΑΥΜΑΤΟΛΟΓΙΑ</t>
        </is>
      </c>
      <c r="I41" s="10" t="n">
        <v>1</v>
      </c>
      <c r="J41" s="10" t="inlineStr">
        <is>
          <t>ΝΑΙ</t>
        </is>
      </c>
      <c r="K41" s="10" t="inlineStr">
        <is>
          <t>ΝΑΙ</t>
        </is>
      </c>
      <c r="L41" s="10" t="n">
        <v>1</v>
      </c>
      <c r="M41" s="12">
        <f>MIN(76*3.83+0*3.83+1*1.91+1*1.91+41*1.91+100,500)</f>
        <v/>
      </c>
      <c r="N41" s="12">
        <f>MIN(6*0.5+2*1.25+4*0.1+3*0.35+2*3+1*10+1*5+1*0.75+1*3.5+2*1.5+5*2,200)+MIN(75,100)</f>
        <v/>
      </c>
      <c r="O41" s="12">
        <f>MIN(MIN(10+35,150)+MIN(20+30,50),200)</f>
        <v/>
      </c>
      <c r="P41" s="13">
        <f>MIN(M41+N41+O41,1000)</f>
        <v/>
      </c>
      <c r="Q41" s="10" t="n"/>
    </row>
    <row r="42">
      <c r="A42" s="10" t="inlineStr">
        <is>
          <t>ΠΑΠ-20670/7</t>
        </is>
      </c>
      <c r="B42" s="10" t="inlineStr">
        <is>
          <t>56086296238</t>
        </is>
      </c>
      <c r="C42" s="10" t="inlineStr">
        <is>
          <t>27/08/2026</t>
        </is>
      </c>
      <c r="D42" s="10" t="inlineStr">
        <is>
          <t>ΑΙΜΑΤΟΛΟΓΙΑ</t>
        </is>
      </c>
      <c r="E42" s="10" t="inlineStr">
        <is>
          <t>1</t>
        </is>
      </c>
      <c r="F42" s="10" t="inlineStr">
        <is>
          <t>3η Υ.ΠΕ.</t>
        </is>
      </c>
      <c r="G42" s="11" t="inlineStr">
        <is>
          <t>Γ.Ν.Θ. Παπαγεωργίου</t>
        </is>
      </c>
      <c r="H42" s="11" t="inlineStr">
        <is>
          <t>Επιμελητής Β' — ΑΙΜΑΤΟΛΟΓΙΑ</t>
        </is>
      </c>
      <c r="I42" s="10" t="n">
        <v>1</v>
      </c>
      <c r="J42" s="10" t="inlineStr">
        <is>
          <t>ΟΧΙ</t>
        </is>
      </c>
      <c r="K42" s="10" t="inlineStr">
        <is>
          <t>ΝΑΙ</t>
        </is>
      </c>
      <c r="L42" s="10" t="n">
        <v>1</v>
      </c>
      <c r="M42" s="12">
        <f>MIN(2*3.83+5,500)</f>
        <v/>
      </c>
      <c r="N42" s="12">
        <f>MIN(2*0.5+5+1*3+1*2.5+1*1.5,200)+MIN(0,100)</f>
        <v/>
      </c>
      <c r="O42" s="12">
        <f>MIN(MIN(10,150)+MIN(0,50),200)</f>
        <v/>
      </c>
      <c r="P42" s="13">
        <f>MIN(M42+N42+O42,1000)</f>
        <v/>
      </c>
      <c r="Q42" s="10" t="n"/>
    </row>
    <row r="43">
      <c r="A43" s="10" t="inlineStr">
        <is>
          <t>ΠΑΠ-20670/8</t>
        </is>
      </c>
      <c r="B43" s="10" t="inlineStr">
        <is>
          <t>38270662818</t>
        </is>
      </c>
      <c r="C43" s="10" t="inlineStr">
        <is>
          <t>28/08/2026</t>
        </is>
      </c>
      <c r="D43" s="10" t="inlineStr">
        <is>
          <t>ΑΙΜΑΤΟΛΟΓΙΑ</t>
        </is>
      </c>
      <c r="E43" s="10" t="inlineStr">
        <is>
          <t>1</t>
        </is>
      </c>
      <c r="F43" s="10" t="inlineStr">
        <is>
          <t>3η Υ.ΠΕ.</t>
        </is>
      </c>
      <c r="G43" s="11" t="inlineStr">
        <is>
          <t>Γ.Ν.Θ. Παπαγεωργίου</t>
        </is>
      </c>
      <c r="H43" s="11" t="inlineStr">
        <is>
          <t>Επιμελητής Β' — ΑΙΜΑΤΟΛΟΓΙΑ</t>
        </is>
      </c>
      <c r="I43" s="10" t="n">
        <v>1</v>
      </c>
      <c r="J43" s="10" t="inlineStr">
        <is>
          <t>ΟΧΙ</t>
        </is>
      </c>
      <c r="K43" s="10" t="inlineStr">
        <is>
          <t>ΝΑΙ</t>
        </is>
      </c>
      <c r="L43" s="10" t="n">
        <v>1</v>
      </c>
      <c r="M43" s="12">
        <f>MIN(3*3.83+18*3.83+5,500)</f>
        <v/>
      </c>
      <c r="N43" s="12">
        <f>MIN(3*0.1+1*0.35+15+2*1,200)+MIN(0,100)</f>
        <v/>
      </c>
      <c r="O43" s="12">
        <f>MIN(MIN(10,150)+MIN(0,50),200)</f>
        <v/>
      </c>
      <c r="P43" s="13">
        <f>MIN(M43+N43+O43,1000)</f>
        <v/>
      </c>
      <c r="Q43" s="10" t="n"/>
    </row>
    <row r="44">
      <c r="A44" s="10" t="inlineStr">
        <is>
          <t>ΠΑΠ-20670/9</t>
        </is>
      </c>
      <c r="B44" s="10" t="inlineStr">
        <is>
          <t>01307815773</t>
        </is>
      </c>
      <c r="C44" s="10" t="inlineStr">
        <is>
          <t>28/08/2026</t>
        </is>
      </c>
      <c r="D44" s="10" t="inlineStr">
        <is>
          <t>ΑΚΤΙΝΟΘΕΡΑΠΕΥΤΙΚΗ ΟΓΚΟΛΟΓΙΑ</t>
        </is>
      </c>
      <c r="E44" s="10" t="inlineStr">
        <is>
          <t>2</t>
        </is>
      </c>
      <c r="F44" s="10" t="inlineStr">
        <is>
          <t>3η Υ.ΠΕ.</t>
        </is>
      </c>
      <c r="G44" s="11" t="inlineStr">
        <is>
          <t>Γ.Ν.Θ. Παπαγεωργίου</t>
        </is>
      </c>
      <c r="H44" s="11" t="inlineStr">
        <is>
          <t>Επιμελητής Β' — ΑΚΤΙΝΟΘΕΡΑΠΕΥΤΙΚΗ ΟΓΚΟΛΟΓΙΑ</t>
        </is>
      </c>
      <c r="I44" s="10" t="n">
        <v>1</v>
      </c>
      <c r="J44" s="10" t="inlineStr">
        <is>
          <t>ΟΧΙ</t>
        </is>
      </c>
      <c r="K44" s="10" t="inlineStr">
        <is>
          <t>ΝΑΙ</t>
        </is>
      </c>
      <c r="L44" s="10" t="n">
        <v>1</v>
      </c>
      <c r="M44" s="12">
        <f>MIN(34*1.5+8*3.83+35,500)</f>
        <v/>
      </c>
      <c r="N44" s="12">
        <f>MIN(2*0.35+1*5+2*1,200)+MIN(25,100)</f>
        <v/>
      </c>
      <c r="O44" s="12">
        <f>MIN(MIN(30,150)+MIN(5,50),200)</f>
        <v/>
      </c>
      <c r="P44" s="13">
        <f>MIN(M44+N44+O44,1000)</f>
        <v/>
      </c>
      <c r="Q44" s="10" t="n"/>
    </row>
  </sheetData>
  <mergeCells count="2">
    <mergeCell ref="P1:Q1"/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2026-09-04T07:52:05Z</dcterms:created>
  <dcterms:modified xsi:type="dcterms:W3CDTF">2026-09-04T07:52:05Z</dcterms:modified>
</cp:coreProperties>
</file>